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'06'!$A$1:$S$106</definedName>
    <definedName name="_xlnm.Print_Area" localSheetId="13">'07'!$A$1:$T$107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<sst xmlns="http://schemas.openxmlformats.org/spreadsheetml/2006/main" count="1295" uniqueCount="586">
  <si>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</si>
  <si>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</si>
  <si>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</si>
  <si>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</si>
  <si>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</si>
  <si>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</si>
  <si>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</si>
  <si>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</si>
  <si>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</si>
  <si>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</si>
  <si>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</si>
  <si>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</si>
  <si>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</si>
  <si>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</si>
  <si>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</si>
  <si>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</si>
  <si>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</si>
  <si>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</si>
  <si>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</si>
  <si>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</si>
  <si>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</si>
  <si>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</si>
  <si>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</si>
  <si>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</si>
  <si>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</si>
  <si>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</si>
  <si>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</si>
  <si>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</si>
  <si>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</si>
  <si>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</si>
  <si>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</si>
  <si>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</si>
  <si>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</si>
  <si>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</si>
  <si>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</si>
  <si>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</si>
  <si>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</si>
  <si>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</si>
  <si>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</si>
  <si>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</si>
  <si>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</si>
  <si>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</si>
  <si>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</si>
  <si>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</si>
  <si>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</si>
  <si>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</si>
  <si>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</si>
  <si>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</si>
  <si>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</si>
  <si>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</si>
  <si>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</si>
  <si>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</si>
  <si>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</si>
  <si>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</si>
  <si>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</si>
  <si>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</si>
  <si>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</si>
  <si>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</si>
  <si>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</si>
  <si>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</si>
  <si>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</si>
  <si>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</si>
  <si>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</si>
  <si>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</si>
  <si>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</si>
  <si>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</si>
  <si>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</si>
  <si>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</si>
  <si>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</si>
  <si>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</si>
  <si>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</si>
  <si>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</si>
  <si>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</si>
  <si>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</si>
  <si>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</si>
  <si>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</si>
  <si>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</si>
  <si>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</si>
  <si>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</si>
  <si>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</si>
  <si>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</si>
  <si>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</si>
  <si>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</si>
  <si>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</si>
  <si>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</si>
  <si>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</si>
  <si>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</si>
  <si>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</si>
  <si>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</si>
  <si>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</si>
  <si>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</si>
  <si>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</si>
  <si>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</si>
  <si>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</si>
  <si>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</si>
  <si>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</si>
  <si>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</si>
  <si>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</si>
  <si>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</si>
  <si>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</si>
  <si>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</si>
  <si>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</si>
  <si>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</si>
  <si>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</si>
  <si>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</si>
  <si>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</si>
  <si>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</si>
  <si>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</si>
  <si>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</si>
  <si>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</si>
  <si>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</si>
  <si>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</si>
  <si>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</si>
  <si>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</si>
  <si>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</si>
  <si>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</si>
  <si>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</si>
  <si>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</si>
  <si>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</si>
  <si>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</si>
  <si>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</si>
  <si>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</si>
  <si>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</si>
  <si>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</si>
  <si>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</si>
  <si>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</si>
  <si>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</si>
  <si>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</si>
  <si>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</si>
  <si>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</si>
  <si>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</si>
  <si>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</si>
  <si>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</si>
  <si>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</si>
  <si>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</si>
  <si>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</si>
  <si>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</si>
  <si>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</si>
  <si>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</si>
  <si>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</si>
  <si>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</si>
  <si>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</si>
  <si>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</si>
  <si>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</si>
  <si>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</si>
  <si>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</si>
  <si>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</si>
  <si>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</si>
  <si>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</si>
  <si>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</si>
  <si>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</si>
  <si>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</si>
  <si>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</si>
  <si>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</si>
  <si>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</si>
  <si>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</si>
  <si>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</si>
  <si>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</si>
  <si>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</si>
  <si>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</si>
  <si>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</si>
  <si>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</si>
  <si>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</si>
  <si>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</si>
  <si>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</si>
  <si>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</si>
  <si>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</si>
  <si>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</si>
  <si>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</si>
  <si>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</si>
  <si>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</si>
  <si>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</si>
  <si>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</si>
  <si>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</si>
  <si>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</si>
  <si>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</si>
  <si>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</si>
  <si>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</si>
  <si>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</si>
  <si>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</si>
  <si>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</si>
  <si>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</si>
  <si>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</si>
  <si>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</si>
  <si>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</si>
  <si>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</si>
  <si>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</si>
  <si>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</si>
  <si>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</si>
  <si>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</si>
  <si>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</si>
  <si>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</si>
  <si>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</si>
  <si>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</si>
  <si>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</si>
  <si>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</si>
  <si>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</si>
  <si>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</si>
  <si>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</si>
  <si>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</si>
  <si>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</si>
  <si>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</si>
  <si>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</si>
  <si>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</si>
  <si>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</si>
  <si>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</si>
  <si>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</si>
  <si>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</si>
  <si>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</si>
  <si>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</si>
  <si>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</si>
  <si>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</si>
  <si>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</si>
  <si>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</si>
  <si>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</si>
  <si>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</si>
  <si>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</si>
  <si>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</si>
  <si>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</si>
  <si>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</si>
  <si>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</si>
  <si>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</si>
  <si>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</si>
  <si>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</si>
  <si>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</si>
  <si>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</si>
  <si>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</si>
  <si>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</si>
  <si>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</si>
  <si>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</si>
  <si>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</si>
  <si>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</si>
  <si>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</si>
  <si>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</si>
  <si>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</si>
  <si>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</si>
  <si>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</si>
  <si>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</si>
  <si>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</si>
  <si>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</si>
  <si>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</si>
  <si>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</si>
  <si>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</si>
  <si>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</si>
  <si>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</si>
  <si>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</si>
  <si>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</si>
  <si>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</si>
  <si>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</si>
  <si>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</si>
  <si>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</si>
  <si>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</si>
  <si>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</si>
  <si>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</si>
  <si>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</si>
  <si>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</si>
  <si>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</si>
  <si>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</si>
  <si>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</si>
  <si>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</si>
  <si>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</si>
  <si>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</si>
  <si>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</si>
  <si>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</si>
  <si>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</si>
  <si>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</si>
  <si>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</si>
  <si>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</si>
  <si>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</si>
  <si>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</si>
  <si>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</si>
  <si>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</si>
  <si>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</si>
  <si>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</si>
  <si>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</si>
  <si>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</si>
  <si>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</si>
  <si>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</si>
  <si>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</si>
  <si>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</si>
  <si>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</si>
  <si>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</si>
  <si>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</si>
  <si>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</si>
  <si>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</si>
  <si>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</si>
  <si>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</si>
  <si>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</si>
  <si>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</si>
  <si>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</si>
  <si>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</si>
  <si>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</si>
  <si>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</si>
  <si>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</si>
  <si>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</si>
  <si>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</si>
  <si>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</si>
  <si>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</si>
  <si>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</si>
  <si>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</si>
  <si>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</si>
  <si>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</si>
  <si>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</si>
  <si>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</si>
  <si>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</si>
  <si>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</si>
  <si>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</si>
  <si>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</si>
  <si>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</si>
  <si>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</si>
  <si>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</si>
  <si>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</si>
  <si>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</si>
  <si>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</si>
  <si>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</si>
  <si>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</si>
  <si>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</si>
  <si>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</si>
  <si>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</si>
  <si>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</si>
  <si>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</si>
  <si>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</si>
  <si>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</si>
  <si>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</si>
  <si>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</si>
  <si>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</si>
  <si>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</si>
  <si>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</si>
  <si>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</si>
  <si>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</si>
  <si>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</si>
  <si>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</si>
  <si>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</si>
  <si>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</si>
  <si>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</si>
  <si>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</si>
  <si>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</si>
  <si>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</si>
  <si>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</si>
  <si>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</si>
  <si>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</si>
  <si>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</si>
  <si>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</si>
  <si>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</si>
  <si>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</si>
  <si>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</si>
  <si>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</si>
  <si>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</si>
  <si>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</si>
  <si>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</si>
  <si>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</si>
  <si>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</si>
  <si>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</si>
  <si>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</si>
  <si>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</si>
  <si>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</si>
  <si>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</si>
  <si>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</si>
  <si>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</si>
  <si>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</si>
  <si>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</si>
  <si>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</si>
  <si>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</si>
  <si>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</si>
  <si>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</si>
  <si>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</si>
  <si>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</si>
  <si>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</si>
  <si>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</si>
  <si>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</si>
  <si>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</si>
  <si>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</si>
  <si>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</si>
  <si>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</si>
  <si>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</si>
  <si>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</si>
  <si>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</si>
  <si>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</si>
  <si>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</si>
  <si>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</si>
  <si>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</si>
  <si>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</si>
  <si>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</si>
  <si>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</si>
  <si>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</si>
  <si>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</si>
  <si>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</si>
  <si>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</si>
  <si>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</si>
  <si>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</si>
  <si>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</si>
  <si>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</si>
  <si>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</si>
  <si>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</si>
  <si>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</si>
  <si>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</si>
  <si>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</si>
  <si>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</si>
  <si>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</si>
  <si>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</si>
  <si>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</si>
  <si>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</si>
  <si>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</si>
  <si>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</si>
  <si>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</si>
  <si>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</si>
  <si>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</si>
  <si>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</si>
  <si>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</si>
  <si>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</si>
  <si>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</si>
  <si>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</si>
  <si>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</si>
  <si>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</si>
  <si>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</si>
  <si>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</si>
  <si>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</si>
  <si>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</si>
  <si>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</si>
  <si>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</si>
  <si>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</si>
  <si>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</si>
  <si>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</si>
  <si>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</si>
  <si>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</si>
  <si>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</si>
  <si>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</si>
  <si>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</si>
  <si>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</si>
  <si>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</si>
  <si>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</si>
  <si>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</si>
  <si>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</si>
  <si>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</si>
  <si>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</si>
  <si>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</si>
  <si>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</si>
  <si>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</si>
  <si>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</si>
  <si>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</si>
  <si>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</si>
  <si>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</si>
  <si>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</si>
  <si>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</si>
  <si>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</si>
  <si>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</si>
  <si>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</si>
  <si>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</si>
  <si>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</si>
  <si>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 xml:space="preserve"> Phạm Đình Quý</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</si>
  <si>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</si>
  <si>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</si>
  <si>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</si>
  <si>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</si>
  <si>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</si>
  <si>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</si>
  <si>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</si>
  <si>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</si>
  <si>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</si>
  <si>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</si>
  <si>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</si>
  <si>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</si>
  <si>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Cao Thị Thanh Thủy</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</si>
  <si>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</si>
  <si>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</si>
  <si>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</si>
  <si>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</si>
  <si>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</si>
  <si>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</si>
  <si>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</si>
  <si>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</si>
  <si>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</si>
  <si>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</si>
  <si>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</si>
  <si>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Nguyễn Trung Lộc</t>
  </si>
  <si>
    <t>2.6</t>
  </si>
  <si>
    <t>Lê Thành Nam</t>
  </si>
  <si>
    <t>2.7</t>
  </si>
  <si>
    <t>Lê Nguyễn Thể Uyên</t>
  </si>
  <si>
    <t>2.8</t>
  </si>
  <si>
    <t>Đinh Văn Thơm</t>
  </si>
  <si>
    <t>2.9</t>
  </si>
  <si>
    <t>Lê Văn Hùng</t>
  </si>
  <si>
    <t>2.10</t>
  </si>
  <si>
    <t xml:space="preserve">Phạm Quang Đuyên </t>
  </si>
  <si>
    <t>Chi cục THA  Lạc Dương</t>
  </si>
  <si>
    <t xml:space="preserve"> Nguyễn Văn Ban</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</si>
  <si>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</si>
  <si>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</si>
  <si>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</si>
  <si>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</si>
  <si>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</si>
  <si>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</si>
  <si>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</si>
  <si>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</si>
  <si>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</si>
  <si>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</si>
  <si>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</si>
  <si>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</si>
  <si>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</si>
  <si>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</si>
  <si>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</si>
  <si>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</si>
  <si>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</si>
  <si>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</si>
  <si>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6.1</t>
  </si>
  <si>
    <t>6.2</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</si>
  <si>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</si>
  <si>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</si>
  <si>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</si>
  <si>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</si>
  <si>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</si>
  <si>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</si>
  <si>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</si>
  <si>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</si>
  <si>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</si>
  <si>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</si>
  <si>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</si>
  <si>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</si>
  <si>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</si>
  <si>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</si>
  <si>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</si>
  <si>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</si>
  <si>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</si>
  <si>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</si>
  <si>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</si>
  <si>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</si>
  <si>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</si>
  <si>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</si>
  <si>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</si>
  <si>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</si>
  <si>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</si>
  <si>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</si>
  <si>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</si>
  <si>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</si>
  <si>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</si>
  <si>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</si>
  <si>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</si>
  <si>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</si>
  <si>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</si>
  <si>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</si>
  <si>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</si>
  <si>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</si>
  <si>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</si>
  <si>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</si>
  <si>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</si>
  <si>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</si>
  <si>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</si>
  <si>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</si>
  <si>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</si>
  <si>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</si>
  <si>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</si>
  <si>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</si>
  <si>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Phaạm Quang Đuyên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</si>
  <si>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</si>
  <si>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</si>
  <si>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</si>
  <si>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</si>
  <si>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</si>
  <si>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</si>
  <si>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</si>
  <si>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</si>
  <si>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</si>
  <si>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</si>
  <si>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 xml:space="preserve">Cao Xuân Thành </t>
  </si>
  <si>
    <t>Hoàng Văn Cường (tăng cường từ Đơn Dương)</t>
  </si>
  <si>
    <t>Trần Ba (tăng cường từ Đam Rông)</t>
  </si>
  <si>
    <t>8.6</t>
  </si>
  <si>
    <t xml:space="preserve">Nguyễn Sỹ Cần </t>
  </si>
  <si>
    <t xml:space="preserve">Mai Văn Hưng </t>
  </si>
  <si>
    <t>55</t>
  </si>
  <si>
    <t>1125</t>
  </si>
  <si>
    <t>5291111745</t>
  </si>
  <si>
    <t>79</t>
  </si>
  <si>
    <t>30</t>
  </si>
  <si>
    <t>27</t>
  </si>
  <si>
    <t>19</t>
  </si>
  <si>
    <t>25</t>
  </si>
  <si>
    <t>41</t>
  </si>
  <si>
    <t>9.4</t>
  </si>
  <si>
    <t>122</t>
  </si>
  <si>
    <t>86</t>
  </si>
  <si>
    <t>6.3</t>
  </si>
  <si>
    <t>6.4</t>
  </si>
  <si>
    <t>Lâm Đồng, ngày 06 tháng 02 năm 2017</t>
  </si>
  <si>
    <t>04 tháng / năm 2017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</si>
</sst>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5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9"/>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0"/>
      <name val="VNI-Times"/>
      <family val="0"/>
    </font>
    <font>
      <sz val="11"/>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1"/>
      <color rgb="FFFF0000"/>
      <name val="Times New Roman"/>
      <family val="1"/>
    </font>
    <font>
      <b/>
      <sz val="9"/>
      <color rgb="FFFF0000"/>
      <name val="Times New Roman"/>
      <family val="1"/>
    </font>
    <font>
      <b/>
      <sz val="10"/>
      <color rgb="FFFF0000"/>
      <name val="Times New Roman"/>
      <family val="1"/>
    </font>
    <font>
      <b/>
      <sz val="12"/>
      <color rgb="FFFF0000"/>
      <name val="Times New Roman"/>
      <family val="1"/>
    </font>
    <font>
      <sz val="11"/>
      <color rgb="FFFF0000"/>
      <name val="Times New Roman"/>
      <family val="1"/>
    </font>
    <font>
      <sz val="10"/>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color indexed="63"/>
      </left>
      <right style="thin">
        <color indexed="57"/>
      </right>
      <top style="thin">
        <color indexed="57"/>
      </top>
      <bottom style="thin">
        <color indexed="57"/>
      </bottom>
    </border>
    <border>
      <left style="thin"/>
      <right style="thin"/>
      <top style="thin"/>
      <bottom style="double"/>
    </border>
    <border>
      <left style="thin">
        <color indexed="8"/>
      </left>
      <right style="thin">
        <color indexed="8"/>
      </right>
      <top style="thin">
        <color indexed="8"/>
      </top>
      <bottom style="thin">
        <color indexed="8"/>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24">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7"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7"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7"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7"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7"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7" applyNumberFormat="1" applyFont="1" applyFill="1" applyBorder="1" applyAlignment="1">
      <alignment horizontal="center" vertical="center"/>
      <protection/>
    </xf>
    <xf numFmtId="9" fontId="0" fillId="0" borderId="0" xfId="147" applyFont="1" applyAlignment="1">
      <alignment/>
    </xf>
    <xf numFmtId="49" fontId="28" fillId="0" borderId="0" xfId="136" applyNumberFormat="1" applyFont="1" applyBorder="1" applyAlignment="1">
      <alignment wrapText="1"/>
      <protection/>
    </xf>
    <xf numFmtId="3" fontId="4" fillId="47" borderId="0" xfId="137" applyNumberFormat="1" applyFont="1" applyFill="1" applyBorder="1" applyAlignment="1">
      <alignment horizontal="center" vertical="center"/>
      <protection/>
    </xf>
    <xf numFmtId="49" fontId="28"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47" borderId="0" xfId="138" applyNumberFormat="1" applyFont="1" applyFill="1" applyBorder="1" applyAlignment="1">
      <alignment horizontal="left"/>
      <protection/>
    </xf>
    <xf numFmtId="49" fontId="0" fillId="47" borderId="0" xfId="138" applyNumberFormat="1" applyFont="1" applyFill="1" applyBorder="1" applyAlignment="1">
      <alignment horizontal="left"/>
      <protection/>
    </xf>
    <xf numFmtId="49" fontId="26" fillId="0" borderId="0" xfId="138" applyNumberFormat="1" applyFont="1">
      <alignment/>
      <protection/>
    </xf>
    <xf numFmtId="49" fontId="0" fillId="47"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22" xfId="138" applyNumberFormat="1" applyFont="1" applyBorder="1" applyAlignment="1">
      <alignment horizontal="left"/>
      <protection/>
    </xf>
    <xf numFmtId="49" fontId="3" fillId="0" borderId="22" xfId="138" applyNumberFormat="1" applyFont="1" applyBorder="1" applyAlignment="1">
      <alignment horizontal="left"/>
      <protection/>
    </xf>
    <xf numFmtId="49" fontId="26" fillId="0" borderId="0" xfId="138" applyNumberFormat="1" applyFont="1" applyFill="1">
      <alignment/>
      <protection/>
    </xf>
    <xf numFmtId="49" fontId="26" fillId="0" borderId="0" xfId="138" applyNumberFormat="1" applyFont="1" applyAlignment="1">
      <alignment vertical="center"/>
      <protection/>
    </xf>
    <xf numFmtId="49" fontId="6" fillId="47" borderId="20" xfId="138" applyNumberFormat="1" applyFont="1" applyFill="1" applyBorder="1" applyAlignment="1">
      <alignment horizontal="left" vertical="center"/>
      <protection/>
    </xf>
    <xf numFmtId="49" fontId="1" fillId="0" borderId="0" xfId="138" applyNumberFormat="1" applyFont="1">
      <alignment/>
      <protection/>
    </xf>
    <xf numFmtId="49" fontId="28" fillId="0" borderId="0" xfId="138" applyNumberFormat="1" applyFont="1" applyBorder="1" applyAlignment="1">
      <alignment/>
      <protection/>
    </xf>
    <xf numFmtId="49" fontId="79"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8" fillId="0" borderId="0" xfId="138" applyNumberFormat="1" applyFont="1" applyAlignment="1">
      <alignment horizontal="center"/>
      <protection/>
    </xf>
    <xf numFmtId="49" fontId="28" fillId="0" borderId="0" xfId="138" applyNumberFormat="1" applyFont="1">
      <alignment/>
      <protection/>
    </xf>
    <xf numFmtId="49" fontId="79" fillId="0" borderId="0" xfId="138" applyNumberFormat="1" applyFont="1" applyAlignment="1">
      <alignment horizontal="center"/>
      <protection/>
    </xf>
    <xf numFmtId="49" fontId="13" fillId="0" borderId="0" xfId="138" applyNumberFormat="1" applyFont="1" applyBorder="1" applyAlignment="1">
      <alignment wrapText="1"/>
      <protection/>
    </xf>
    <xf numFmtId="49" fontId="81" fillId="0" borderId="0" xfId="138" applyNumberFormat="1" applyFont="1">
      <alignment/>
      <protection/>
    </xf>
    <xf numFmtId="9" fontId="26" fillId="0" borderId="0" xfId="147" applyFont="1" applyAlignment="1">
      <alignment/>
    </xf>
    <xf numFmtId="3" fontId="0" fillId="47" borderId="0" xfId="138" applyNumberFormat="1" applyFont="1" applyFill="1" applyBorder="1" applyAlignment="1">
      <alignment/>
      <protection/>
    </xf>
    <xf numFmtId="0" fontId="26"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6" fillId="0" borderId="0" xfId="138" applyFont="1">
      <alignment/>
      <protection/>
    </xf>
    <xf numFmtId="0" fontId="6" fillId="0" borderId="20" xfId="138" applyFont="1" applyBorder="1" applyAlignment="1">
      <alignment horizontal="center" vertical="center"/>
      <protection/>
    </xf>
    <xf numFmtId="0" fontId="6" fillId="47" borderId="20" xfId="138" applyFont="1" applyFill="1" applyBorder="1" applyAlignment="1">
      <alignment horizontal="left" vertical="center"/>
      <protection/>
    </xf>
    <xf numFmtId="9" fontId="26" fillId="0" borderId="0" xfId="147" applyFont="1" applyAlignment="1">
      <alignment vertical="center"/>
    </xf>
    <xf numFmtId="0" fontId="5" fillId="0" borderId="23" xfId="138" applyFont="1" applyBorder="1" applyAlignment="1">
      <alignment horizontal="center" vertical="center"/>
      <protection/>
    </xf>
    <xf numFmtId="0" fontId="26"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8" fillId="0" borderId="0" xfId="138" applyFont="1" applyBorder="1" applyAlignment="1">
      <alignment wrapText="1"/>
      <protection/>
    </xf>
    <xf numFmtId="0" fontId="25" fillId="0" borderId="0" xfId="138" applyNumberFormat="1" applyFont="1" applyBorder="1" applyAlignment="1">
      <alignment/>
      <protection/>
    </xf>
    <xf numFmtId="0" fontId="79"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8"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47"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22" xfId="138" applyNumberFormat="1" applyFont="1" applyBorder="1" applyAlignment="1">
      <alignment/>
      <protection/>
    </xf>
    <xf numFmtId="49" fontId="6" fillId="0" borderId="20" xfId="138" applyNumberFormat="1" applyFont="1" applyFill="1" applyBorder="1" applyAlignment="1">
      <alignment horizontal="center" vertical="center" wrapText="1"/>
      <protection/>
    </xf>
    <xf numFmtId="49" fontId="5" fillId="0" borderId="24"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25"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protection/>
    </xf>
    <xf numFmtId="49" fontId="19" fillId="0" borderId="20" xfId="138" applyNumberFormat="1" applyFont="1" applyBorder="1" applyAlignment="1">
      <alignment horizontal="center" vertical="center"/>
      <protection/>
    </xf>
    <xf numFmtId="49" fontId="5" fillId="0" borderId="0" xfId="138" applyNumberFormat="1" applyFont="1" applyAlignment="1">
      <alignment vertical="center"/>
      <protection/>
    </xf>
    <xf numFmtId="3" fontId="29" fillId="3" borderId="20" xfId="138" applyNumberFormat="1" applyFont="1" applyFill="1" applyBorder="1" applyAlignment="1">
      <alignment horizontal="center" vertical="center"/>
      <protection/>
    </xf>
    <xf numFmtId="3" fontId="69" fillId="3" borderId="20" xfId="138" applyNumberFormat="1" applyFont="1" applyFill="1" applyBorder="1" applyAlignment="1">
      <alignment horizontal="center" vertical="center"/>
      <protection/>
    </xf>
    <xf numFmtId="3" fontId="29" fillId="4" borderId="20" xfId="138" applyNumberFormat="1" applyFont="1" applyFill="1" applyBorder="1" applyAlignment="1">
      <alignment horizontal="center" vertical="center"/>
      <protection/>
    </xf>
    <xf numFmtId="3" fontId="6" fillId="44" borderId="20" xfId="138" applyNumberFormat="1" applyFont="1" applyFill="1" applyBorder="1" applyAlignment="1">
      <alignment horizontal="center" vertical="center"/>
      <protection/>
    </xf>
    <xf numFmtId="49" fontId="6" fillId="0" borderId="20" xfId="138" applyNumberFormat="1" applyFont="1" applyBorder="1" applyAlignment="1">
      <alignment horizontal="center" vertical="center"/>
      <protection/>
    </xf>
    <xf numFmtId="3" fontId="5" fillId="47" borderId="20" xfId="138" applyNumberFormat="1" applyFont="1" applyFill="1" applyBorder="1" applyAlignment="1">
      <alignment horizontal="center" vertical="center"/>
      <protection/>
    </xf>
    <xf numFmtId="49" fontId="6" fillId="0" borderId="23" xfId="138" applyNumberFormat="1" applyFont="1" applyBorder="1" applyAlignment="1">
      <alignment horizontal="center" vertical="center"/>
      <protection/>
    </xf>
    <xf numFmtId="49" fontId="5" fillId="0" borderId="23" xfId="138" applyNumberFormat="1" applyFont="1" applyBorder="1" applyAlignment="1">
      <alignment horizontal="center" vertical="center"/>
      <protection/>
    </xf>
    <xf numFmtId="3" fontId="5" fillId="0" borderId="20" xfId="138" applyNumberFormat="1" applyFont="1" applyBorder="1" applyAlignment="1">
      <alignment horizontal="center" vertical="center"/>
      <protection/>
    </xf>
    <xf numFmtId="49" fontId="87" fillId="0" borderId="0" xfId="138" applyNumberFormat="1" applyFont="1">
      <alignment/>
      <protection/>
    </xf>
    <xf numFmtId="49" fontId="26" fillId="0" borderId="0" xfId="138" applyNumberFormat="1">
      <alignment/>
      <protection/>
    </xf>
    <xf numFmtId="49" fontId="28" fillId="0" borderId="0" xfId="138" applyNumberFormat="1" applyFont="1" applyBorder="1" applyAlignment="1">
      <alignment wrapText="1"/>
      <protection/>
    </xf>
    <xf numFmtId="49" fontId="21" fillId="0" borderId="0" xfId="138" applyNumberFormat="1" applyFont="1">
      <alignment/>
      <protection/>
    </xf>
    <xf numFmtId="49" fontId="31" fillId="0" borderId="0" xfId="138" applyNumberFormat="1" applyFont="1">
      <alignment/>
      <protection/>
    </xf>
    <xf numFmtId="49" fontId="31"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6" fillId="0" borderId="24" xfId="138" applyFont="1" applyBorder="1">
      <alignment/>
      <protection/>
    </xf>
    <xf numFmtId="0" fontId="26" fillId="0" borderId="0" xfId="138" applyFont="1" applyBorder="1">
      <alignment/>
      <protection/>
    </xf>
    <xf numFmtId="0" fontId="12" fillId="0" borderId="20" xfId="138" applyFont="1" applyBorder="1" applyAlignment="1">
      <alignment horizontal="center" vertical="center" wrapText="1"/>
      <protection/>
    </xf>
    <xf numFmtId="0" fontId="19" fillId="0" borderId="23" xfId="138" applyFont="1" applyFill="1" applyBorder="1" applyAlignment="1">
      <alignment horizontal="center" vertical="center"/>
      <protection/>
    </xf>
    <xf numFmtId="0" fontId="19" fillId="0" borderId="20" xfId="138" applyFont="1" applyFill="1" applyBorder="1" applyAlignment="1">
      <alignment horizontal="center" vertical="center"/>
      <protection/>
    </xf>
    <xf numFmtId="0" fontId="19" fillId="0" borderId="20" xfId="138" applyFont="1" applyBorder="1" applyAlignment="1">
      <alignment horizontal="center" vertical="center"/>
      <protection/>
    </xf>
    <xf numFmtId="3" fontId="20" fillId="3" borderId="20" xfId="138" applyNumberFormat="1" applyFont="1" applyFill="1" applyBorder="1" applyAlignment="1">
      <alignment horizontal="center" vertical="center"/>
      <protection/>
    </xf>
    <xf numFmtId="3" fontId="35" fillId="3" borderId="20" xfId="138" applyNumberFormat="1" applyFont="1" applyFill="1" applyBorder="1" applyAlignment="1">
      <alignment horizontal="center" vertical="center"/>
      <protection/>
    </xf>
    <xf numFmtId="3" fontId="3" fillId="44" borderId="23" xfId="138" applyNumberFormat="1" applyFont="1" applyFill="1" applyBorder="1" applyAlignment="1">
      <alignment horizontal="center" vertical="center"/>
      <protection/>
    </xf>
    <xf numFmtId="3" fontId="0" fillId="48" borderId="23" xfId="138" applyNumberFormat="1" applyFont="1" applyFill="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6" xfId="138" applyNumberFormat="1" applyFont="1" applyBorder="1" applyAlignment="1">
      <alignment horizontal="center" vertical="center"/>
      <protection/>
    </xf>
    <xf numFmtId="0" fontId="6" fillId="0" borderId="23" xfId="138" applyFont="1" applyBorder="1" applyAlignment="1">
      <alignment horizontal="center" vertical="center"/>
      <protection/>
    </xf>
    <xf numFmtId="3" fontId="0" fillId="44" borderId="23" xfId="138" applyNumberFormat="1" applyFont="1" applyFill="1" applyBorder="1" applyAlignment="1">
      <alignment horizontal="center" vertical="center"/>
      <protection/>
    </xf>
    <xf numFmtId="3" fontId="0" fillId="47" borderId="20" xfId="138" applyNumberFormat="1" applyFont="1" applyFill="1" applyBorder="1" applyAlignment="1">
      <alignment horizontal="center" vertical="center"/>
      <protection/>
    </xf>
    <xf numFmtId="3" fontId="0" fillId="47" borderId="26" xfId="138" applyNumberFormat="1" applyFont="1" applyFill="1" applyBorder="1" applyAlignment="1">
      <alignment horizontal="center" vertical="center"/>
      <protection/>
    </xf>
    <xf numFmtId="0" fontId="28" fillId="0" borderId="0" xfId="138" applyNumberFormat="1" applyFont="1" applyBorder="1" applyAlignment="1">
      <alignment/>
      <protection/>
    </xf>
    <xf numFmtId="0" fontId="88" fillId="0" borderId="0" xfId="138" applyFont="1">
      <alignment/>
      <protection/>
    </xf>
    <xf numFmtId="0" fontId="16" fillId="0" borderId="0" xfId="138" applyFont="1">
      <alignment/>
      <protection/>
    </xf>
    <xf numFmtId="0" fontId="27" fillId="0" borderId="0" xfId="138" applyFont="1">
      <alignment/>
      <protection/>
    </xf>
    <xf numFmtId="0" fontId="13" fillId="0" borderId="0" xfId="138" applyFont="1">
      <alignment/>
      <protection/>
    </xf>
    <xf numFmtId="49" fontId="13" fillId="0" borderId="0" xfId="138" applyNumberFormat="1" applyFont="1">
      <alignment/>
      <protection/>
    </xf>
    <xf numFmtId="0" fontId="81" fillId="0" borderId="0" xfId="138" applyFont="1">
      <alignment/>
      <protection/>
    </xf>
    <xf numFmtId="49" fontId="18" fillId="0" borderId="0" xfId="138" applyNumberFormat="1" applyFont="1" applyBorder="1" applyAlignment="1">
      <alignment/>
      <protection/>
    </xf>
    <xf numFmtId="49" fontId="26" fillId="0" borderId="0" xfId="138" applyNumberFormat="1" applyFont="1" applyAlignment="1">
      <alignment horizontal="center"/>
      <protection/>
    </xf>
    <xf numFmtId="3" fontId="19" fillId="47" borderId="22" xfId="138" applyNumberFormat="1" applyFont="1" applyFill="1" applyBorder="1" applyAlignment="1">
      <alignment horizontal="center"/>
      <protection/>
    </xf>
    <xf numFmtId="49" fontId="5" fillId="0" borderId="22" xfId="138" applyNumberFormat="1" applyFont="1" applyBorder="1" applyAlignment="1">
      <alignment/>
      <protection/>
    </xf>
    <xf numFmtId="49" fontId="26" fillId="0" borderId="0" xfId="138" applyNumberFormat="1" applyFill="1">
      <alignment/>
      <protection/>
    </xf>
    <xf numFmtId="49" fontId="26" fillId="0" borderId="0" xfId="138" applyNumberFormat="1" applyFill="1" applyAlignment="1">
      <alignment vertical="center" wrapText="1"/>
      <protection/>
    </xf>
    <xf numFmtId="49" fontId="26" fillId="0" borderId="0" xfId="138" applyNumberFormat="1" applyAlignment="1">
      <alignment vertical="center"/>
      <protection/>
    </xf>
    <xf numFmtId="3" fontId="5" fillId="44" borderId="20" xfId="138" applyNumberFormat="1" applyFont="1" applyFill="1" applyBorder="1" applyAlignment="1">
      <alignment horizontal="center" vertical="center"/>
      <protection/>
    </xf>
    <xf numFmtId="3" fontId="26" fillId="0" borderId="20" xfId="138" applyNumberFormat="1" applyFont="1" applyBorder="1" applyAlignment="1">
      <alignment horizontal="center" vertical="center"/>
      <protection/>
    </xf>
    <xf numFmtId="0" fontId="5" fillId="0" borderId="20" xfId="138" applyFont="1" applyBorder="1" applyAlignment="1">
      <alignment horizontal="center" vertical="center"/>
      <protection/>
    </xf>
    <xf numFmtId="3" fontId="5" fillId="0" borderId="20" xfId="138" applyNumberFormat="1" applyFont="1" applyFill="1" applyBorder="1" applyAlignment="1">
      <alignment horizontal="center" vertical="center"/>
      <protection/>
    </xf>
    <xf numFmtId="3" fontId="26" fillId="0" borderId="20" xfId="138" applyNumberFormat="1" applyFont="1" applyFill="1" applyBorder="1" applyAlignment="1">
      <alignment horizontal="center" vertical="center"/>
      <protection/>
    </xf>
    <xf numFmtId="49" fontId="26" fillId="0" borderId="0" xfId="138" applyNumberFormat="1" applyAlignment="1">
      <alignment horizontal="center"/>
      <protection/>
    </xf>
    <xf numFmtId="49" fontId="72" fillId="0" borderId="0" xfId="138" applyNumberFormat="1" applyFont="1" applyAlignment="1">
      <alignment horizontal="left"/>
      <protection/>
    </xf>
    <xf numFmtId="49" fontId="31" fillId="0" borderId="0" xfId="138" applyNumberFormat="1" applyFont="1" applyAlignment="1">
      <alignment/>
      <protection/>
    </xf>
    <xf numFmtId="49" fontId="3" fillId="47"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22" xfId="138" applyNumberFormat="1" applyFont="1" applyBorder="1" applyAlignment="1">
      <alignment/>
      <protection/>
    </xf>
    <xf numFmtId="3" fontId="19" fillId="0" borderId="20" xfId="138" applyNumberFormat="1" applyFont="1" applyBorder="1" applyAlignment="1">
      <alignment horizontal="center" vertical="center"/>
      <protection/>
    </xf>
    <xf numFmtId="49" fontId="26" fillId="47" borderId="0" xfId="138" applyNumberFormat="1" applyFont="1" applyFill="1" applyAlignment="1">
      <alignment vertical="center"/>
      <protection/>
    </xf>
    <xf numFmtId="3" fontId="26" fillId="47" borderId="20" xfId="138" applyNumberFormat="1" applyFont="1" applyFill="1" applyBorder="1" applyAlignment="1">
      <alignment horizontal="center" vertical="center"/>
      <protection/>
    </xf>
    <xf numFmtId="3" fontId="91" fillId="0" borderId="20" xfId="138" applyNumberFormat="1" applyFont="1" applyBorder="1" applyAlignment="1">
      <alignment horizontal="center" vertical="center"/>
      <protection/>
    </xf>
    <xf numFmtId="0" fontId="5" fillId="0" borderId="19" xfId="138"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8" applyNumberFormat="1" applyFont="1" applyFill="1" applyBorder="1" applyAlignment="1">
      <alignment horizontal="center" vertical="center"/>
      <protection/>
    </xf>
    <xf numFmtId="3" fontId="19" fillId="0" borderId="19" xfId="138" applyNumberFormat="1" applyFont="1" applyFill="1" applyBorder="1" applyAlignment="1">
      <alignment horizontal="center" vertical="center"/>
      <protection/>
    </xf>
    <xf numFmtId="3" fontId="26" fillId="0" borderId="19" xfId="138" applyNumberFormat="1" applyFont="1" applyFill="1" applyBorder="1" applyAlignment="1">
      <alignment vertical="center"/>
      <protection/>
    </xf>
    <xf numFmtId="3" fontId="92" fillId="0" borderId="19" xfId="138" applyNumberFormat="1" applyFont="1" applyFill="1" applyBorder="1" applyAlignment="1">
      <alignment vertical="center"/>
      <protection/>
    </xf>
    <xf numFmtId="49" fontId="31" fillId="0" borderId="0" xfId="138" applyNumberFormat="1" applyFont="1" applyBorder="1" applyAlignment="1">
      <alignment/>
      <protection/>
    </xf>
    <xf numFmtId="49" fontId="28" fillId="0" borderId="0" xfId="138" applyNumberFormat="1" applyFont="1" applyBorder="1" applyAlignment="1">
      <alignment horizontal="center"/>
      <protection/>
    </xf>
    <xf numFmtId="49" fontId="28" fillId="0" borderId="0" xfId="138" applyNumberFormat="1" applyFont="1" applyAlignment="1">
      <alignment/>
      <protection/>
    </xf>
    <xf numFmtId="0" fontId="5" fillId="47" borderId="0" xfId="138" applyFont="1" applyFill="1" applyBorder="1" applyAlignment="1">
      <alignment/>
      <protection/>
    </xf>
    <xf numFmtId="49" fontId="93" fillId="0" borderId="0" xfId="138" applyNumberFormat="1" applyFont="1">
      <alignment/>
      <protection/>
    </xf>
    <xf numFmtId="49" fontId="94" fillId="0" borderId="0" xfId="138" applyNumberFormat="1" applyFont="1">
      <alignment/>
      <protection/>
    </xf>
    <xf numFmtId="49" fontId="95" fillId="0" borderId="0" xfId="138" applyNumberFormat="1" applyFont="1" applyAlignment="1">
      <alignment horizontal="center"/>
      <protection/>
    </xf>
    <xf numFmtId="49" fontId="25" fillId="47" borderId="0" xfId="136" applyNumberFormat="1" applyFont="1" applyFill="1" applyAlignment="1">
      <alignment/>
      <protection/>
    </xf>
    <xf numFmtId="49" fontId="80" fillId="0" borderId="0" xfId="138" applyNumberFormat="1" applyFont="1">
      <alignment/>
      <protection/>
    </xf>
    <xf numFmtId="49" fontId="31" fillId="0" borderId="0" xfId="138" applyNumberFormat="1" applyFont="1" applyBorder="1" applyAlignment="1">
      <alignment wrapText="1"/>
      <protection/>
    </xf>
    <xf numFmtId="49" fontId="83" fillId="0" borderId="0" xfId="138" applyNumberFormat="1" applyFont="1">
      <alignment/>
      <protection/>
    </xf>
    <xf numFmtId="49" fontId="78"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6" fillId="0" borderId="0" xfId="138" applyNumberFormat="1" applyFont="1" applyFill="1">
      <alignment/>
      <protection/>
    </xf>
    <xf numFmtId="49" fontId="26"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2" fillId="0" borderId="0" xfId="138" applyNumberFormat="1" applyFont="1" applyFill="1">
      <alignment/>
      <protection/>
    </xf>
    <xf numFmtId="49" fontId="82" fillId="0" borderId="0" xfId="138" applyNumberFormat="1" applyFont="1" applyFill="1" applyAlignment="1">
      <alignment/>
      <protection/>
    </xf>
    <xf numFmtId="49" fontId="19" fillId="0" borderId="27" xfId="138" applyNumberFormat="1" applyFont="1" applyFill="1" applyBorder="1" applyAlignment="1">
      <alignment horizontal="center" vertical="center"/>
      <protection/>
    </xf>
    <xf numFmtId="3" fontId="6" fillId="44" borderId="27" xfId="138" applyNumberFormat="1" applyFont="1" applyFill="1" applyBorder="1" applyAlignment="1">
      <alignment horizontal="center" vertical="center"/>
      <protection/>
    </xf>
    <xf numFmtId="3" fontId="6" fillId="44" borderId="23"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8" fillId="0" borderId="0" xfId="138" applyNumberFormat="1" applyFont="1">
      <alignment/>
      <protection/>
    </xf>
    <xf numFmtId="3" fontId="3" fillId="47"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20"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20"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44" borderId="20"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7" applyFont="1" applyAlignment="1">
      <alignment vertical="center"/>
    </xf>
    <xf numFmtId="0" fontId="3" fillId="0" borderId="0" xfId="138" applyFont="1" applyAlignment="1">
      <alignment horizontal="center"/>
      <protection/>
    </xf>
    <xf numFmtId="0" fontId="25" fillId="0" borderId="0" xfId="138" applyFont="1">
      <alignment/>
      <protection/>
    </xf>
    <xf numFmtId="0" fontId="72" fillId="0" borderId="0" xfId="138" applyFont="1" applyAlignment="1">
      <alignment horizontal="center"/>
      <protection/>
    </xf>
    <xf numFmtId="49" fontId="52" fillId="0" borderId="0" xfId="138" applyNumberFormat="1" applyFont="1">
      <alignment/>
      <protection/>
    </xf>
    <xf numFmtId="49" fontId="97" fillId="0" borderId="0" xfId="138" applyNumberFormat="1" applyFont="1" applyBorder="1" applyAlignment="1">
      <alignment wrapText="1"/>
      <protection/>
    </xf>
    <xf numFmtId="0" fontId="31" fillId="0" borderId="0" xfId="13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4" fillId="49" borderId="20" xfId="0" applyFont="1" applyFill="1" applyBorder="1" applyAlignment="1">
      <alignment/>
    </xf>
    <xf numFmtId="0" fontId="0" fillId="49" borderId="39"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39"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106" fillId="0" borderId="20" xfId="0" applyNumberFormat="1" applyFont="1" applyFill="1" applyBorder="1" applyAlignment="1" applyProtection="1">
      <alignment vertical="center"/>
      <protection/>
    </xf>
    <xf numFmtId="49" fontId="106" fillId="0" borderId="20" xfId="0" applyNumberFormat="1" applyFont="1" applyFill="1" applyBorder="1" applyAlignment="1">
      <alignment/>
    </xf>
    <xf numFmtId="49" fontId="6" fillId="51" borderId="20" xfId="0" applyNumberFormat="1" applyFont="1" applyFill="1" applyBorder="1" applyAlignment="1" applyProtection="1">
      <alignment horizontal="center" vertical="center"/>
      <protection/>
    </xf>
    <xf numFmtId="49" fontId="4" fillId="47" borderId="20" xfId="139"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10" fontId="7" fillId="50" borderId="38" xfId="131" applyNumberFormat="1" applyFont="1" applyFill="1" applyBorder="1" applyAlignment="1">
      <alignment horizontal="right" vertical="center"/>
      <protection/>
    </xf>
    <xf numFmtId="49" fontId="7" fillId="50" borderId="20" xfId="0" applyNumberFormat="1" applyFont="1" applyFill="1" applyBorder="1" applyAlignment="1" applyProtection="1">
      <alignment vertical="center"/>
      <protection/>
    </xf>
    <xf numFmtId="0" fontId="0" fillId="49" borderId="20" xfId="0" applyFont="1" applyFill="1" applyBorder="1" applyAlignment="1">
      <alignment/>
    </xf>
    <xf numFmtId="41" fontId="7" fillId="50" borderId="20" xfId="97" applyFont="1" applyFill="1" applyBorder="1" applyAlignment="1">
      <alignment/>
    </xf>
    <xf numFmtId="41" fontId="145" fillId="50" borderId="20" xfId="97" applyFont="1" applyFill="1" applyBorder="1" applyAlignment="1">
      <alignment/>
    </xf>
    <xf numFmtId="41" fontId="145" fillId="52" borderId="20" xfId="97" applyFont="1" applyFill="1" applyBorder="1" applyAlignment="1">
      <alignment/>
    </xf>
    <xf numFmtId="41" fontId="146" fillId="50" borderId="20" xfId="97" applyFont="1" applyFill="1" applyBorder="1" applyAlignment="1">
      <alignment/>
    </xf>
    <xf numFmtId="41" fontId="147" fillId="50" borderId="20" xfId="97" applyFont="1" applyFill="1" applyBorder="1" applyAlignment="1">
      <alignment/>
    </xf>
    <xf numFmtId="41" fontId="147" fillId="52"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0" applyFont="1" applyFill="1" applyBorder="1" applyAlignment="1">
      <alignment vertical="center"/>
      <protection/>
    </xf>
    <xf numFmtId="0" fontId="8" fillId="0" borderId="20" xfId="140" applyFont="1" applyBorder="1" applyAlignment="1">
      <alignment horizontal="left" vertical="center"/>
      <protection/>
    </xf>
    <xf numFmtId="41" fontId="4" fillId="50" borderId="20" xfId="97" applyFont="1" applyFill="1" applyBorder="1" applyAlignment="1">
      <alignment/>
    </xf>
    <xf numFmtId="41" fontId="147" fillId="52" borderId="20" xfId="97" applyFont="1" applyFill="1" applyBorder="1" applyAlignment="1">
      <alignment horizontal="right"/>
    </xf>
    <xf numFmtId="41" fontId="145" fillId="52" borderId="20" xfId="97" applyFont="1" applyFill="1" applyBorder="1" applyAlignment="1">
      <alignment horizontal="right"/>
    </xf>
    <xf numFmtId="0" fontId="4" fillId="0" borderId="20" xfId="140" applyFont="1" applyFill="1" applyBorder="1" applyAlignment="1">
      <alignment vertical="center"/>
      <protection/>
    </xf>
    <xf numFmtId="10" fontId="24" fillId="51" borderId="38" xfId="131" applyNumberFormat="1" applyFont="1" applyFill="1" applyBorder="1" applyAlignment="1">
      <alignment horizontal="right" vertical="center"/>
      <protection/>
    </xf>
    <xf numFmtId="49" fontId="0" fillId="51" borderId="0" xfId="0" applyNumberFormat="1" applyFont="1" applyFill="1" applyAlignment="1">
      <alignment/>
    </xf>
    <xf numFmtId="49" fontId="0" fillId="51" borderId="0" xfId="0" applyNumberFormat="1" applyFont="1" applyFill="1" applyAlignment="1">
      <alignment/>
    </xf>
    <xf numFmtId="49" fontId="0" fillId="51" borderId="0" xfId="0" applyNumberFormat="1" applyFont="1" applyFill="1" applyAlignment="1">
      <alignment/>
    </xf>
    <xf numFmtId="10" fontId="5" fillId="51" borderId="38" xfId="131" applyNumberFormat="1" applyFont="1" applyFill="1" applyBorder="1" applyAlignment="1">
      <alignment horizontal="right" vertical="center"/>
      <protection/>
    </xf>
    <xf numFmtId="49" fontId="106" fillId="0" borderId="20" xfId="0" applyNumberFormat="1" applyFont="1" applyFill="1" applyBorder="1" applyAlignment="1" applyProtection="1">
      <alignment horizontal="right" vertical="center"/>
      <protection/>
    </xf>
    <xf numFmtId="41" fontId="147" fillId="50" borderId="20" xfId="97" applyFont="1" applyFill="1" applyBorder="1" applyAlignment="1">
      <alignment horizontal="right"/>
    </xf>
    <xf numFmtId="41" fontId="5" fillId="50" borderId="20" xfId="97" applyFont="1" applyFill="1" applyBorder="1" applyAlignment="1">
      <alignment horizontal="right"/>
    </xf>
    <xf numFmtId="41" fontId="4" fillId="51" borderId="20" xfId="97" applyFont="1" applyFill="1" applyBorder="1" applyAlignment="1">
      <alignment horizontal="right"/>
    </xf>
    <xf numFmtId="10" fontId="7" fillId="51" borderId="38" xfId="131" applyNumberFormat="1" applyFont="1" applyFill="1" applyBorder="1" applyAlignment="1">
      <alignment horizontal="right" vertical="center"/>
      <protection/>
    </xf>
    <xf numFmtId="41" fontId="148" fillId="52" borderId="41" xfId="0" applyNumberFormat="1" applyFont="1" applyFill="1" applyBorder="1" applyAlignment="1">
      <alignment horizontal="center" vertical="center"/>
    </xf>
    <xf numFmtId="41" fontId="148" fillId="52" borderId="41" xfId="0" applyNumberFormat="1" applyFont="1" applyFill="1" applyBorder="1" applyAlignment="1" applyProtection="1">
      <alignment horizontal="center" vertical="center"/>
      <protection/>
    </xf>
    <xf numFmtId="41" fontId="147" fillId="52" borderId="41" xfId="0" applyNumberFormat="1" applyFont="1" applyFill="1" applyBorder="1" applyAlignment="1">
      <alignment horizontal="center" vertical="center"/>
    </xf>
    <xf numFmtId="41" fontId="147" fillId="52" borderId="41" xfId="0" applyNumberFormat="1" applyFont="1" applyFill="1" applyBorder="1" applyAlignment="1" applyProtection="1">
      <alignment horizontal="center" vertical="center"/>
      <protection/>
    </xf>
    <xf numFmtId="3" fontId="107" fillId="47" borderId="41" xfId="96" applyNumberFormat="1" applyFont="1" applyFill="1" applyBorder="1" applyAlignment="1">
      <alignment horizontal="right" vertical="center"/>
    </xf>
    <xf numFmtId="41" fontId="5" fillId="47" borderId="41" xfId="0" applyNumberFormat="1" applyFont="1" applyFill="1" applyBorder="1" applyAlignment="1">
      <alignment horizontal="right" vertical="center"/>
    </xf>
    <xf numFmtId="41" fontId="4" fillId="51" borderId="20" xfId="97" applyFont="1" applyFill="1" applyBorder="1" applyAlignment="1" applyProtection="1">
      <alignment horizontal="right" vertical="center"/>
      <protection/>
    </xf>
    <xf numFmtId="211" fontId="4" fillId="51" borderId="20" xfId="97" applyNumberFormat="1" applyFont="1" applyFill="1" applyBorder="1" applyAlignment="1" applyProtection="1">
      <alignment horizontal="right" vertical="center"/>
      <protection/>
    </xf>
    <xf numFmtId="41" fontId="5" fillId="51" borderId="20" xfId="97" applyFont="1" applyFill="1" applyBorder="1" applyAlignment="1" applyProtection="1">
      <alignment horizontal="right" vertical="center"/>
      <protection/>
    </xf>
    <xf numFmtId="41" fontId="5" fillId="51" borderId="20" xfId="97" applyFont="1" applyFill="1" applyBorder="1" applyAlignment="1">
      <alignment horizontal="right"/>
    </xf>
    <xf numFmtId="194" fontId="5" fillId="47" borderId="20" xfId="96" applyNumberFormat="1" applyFont="1" applyFill="1" applyBorder="1" applyAlignment="1" applyProtection="1">
      <alignment horizontal="right" vertical="center"/>
      <protection/>
    </xf>
    <xf numFmtId="194" fontId="5" fillId="47" borderId="20" xfId="96" applyNumberFormat="1" applyFont="1" applyFill="1" applyBorder="1" applyAlignment="1">
      <alignment horizontal="right"/>
    </xf>
    <xf numFmtId="194" fontId="4" fillId="47" borderId="20" xfId="96" applyNumberFormat="1" applyFont="1" applyFill="1" applyBorder="1" applyAlignment="1" applyProtection="1">
      <alignment horizontal="right" vertical="center"/>
      <protection/>
    </xf>
    <xf numFmtId="194" fontId="4" fillId="47" borderId="20" xfId="96" applyNumberFormat="1" applyFont="1" applyFill="1" applyBorder="1" applyAlignment="1">
      <alignment horizontal="right"/>
    </xf>
    <xf numFmtId="194" fontId="108" fillId="47" borderId="41" xfId="0" applyNumberFormat="1" applyFont="1" applyFill="1" applyBorder="1" applyAlignment="1">
      <alignment horizontal="right" vertical="center"/>
    </xf>
    <xf numFmtId="41" fontId="4" fillId="47" borderId="41" xfId="0" applyNumberFormat="1" applyFont="1" applyFill="1" applyBorder="1" applyAlignment="1">
      <alignment horizontal="right" vertical="center"/>
    </xf>
    <xf numFmtId="41" fontId="145" fillId="50" borderId="20" xfId="97" applyFont="1" applyFill="1" applyBorder="1" applyAlignment="1">
      <alignment horizontal="right"/>
    </xf>
    <xf numFmtId="194" fontId="4" fillId="0" borderId="20" xfId="96" applyNumberFormat="1" applyFont="1" applyFill="1" applyBorder="1" applyAlignment="1" applyProtection="1">
      <alignment horizontal="right" vertical="center"/>
      <protection/>
    </xf>
    <xf numFmtId="194" fontId="4" fillId="51" borderId="20" xfId="96" applyNumberFormat="1" applyFont="1" applyFill="1" applyBorder="1" applyAlignment="1" applyProtection="1">
      <alignment horizontal="right" vertical="center"/>
      <protection/>
    </xf>
    <xf numFmtId="194" fontId="149" fillId="51" borderId="20" xfId="96" applyNumberFormat="1" applyFont="1" applyFill="1" applyBorder="1" applyAlignment="1" applyProtection="1">
      <alignment horizontal="right" vertical="center"/>
      <protection/>
    </xf>
    <xf numFmtId="41" fontId="4" fillId="51" borderId="41" xfId="0" applyNumberFormat="1" applyFont="1" applyFill="1" applyBorder="1" applyAlignment="1">
      <alignment horizontal="right" vertical="center"/>
    </xf>
    <xf numFmtId="41" fontId="17" fillId="47" borderId="42" xfId="0" applyNumberFormat="1" applyFont="1" applyFill="1" applyBorder="1" applyAlignment="1">
      <alignment horizontal="right" vertical="center"/>
    </xf>
    <xf numFmtId="41" fontId="4" fillId="51" borderId="41" xfId="0" applyNumberFormat="1" applyFont="1" applyFill="1" applyBorder="1" applyAlignment="1" applyProtection="1">
      <alignment horizontal="right" vertical="center"/>
      <protection/>
    </xf>
    <xf numFmtId="41" fontId="106" fillId="47" borderId="41" xfId="0" applyNumberFormat="1" applyFont="1" applyFill="1" applyBorder="1" applyAlignment="1" applyProtection="1">
      <alignment horizontal="right" vertical="center"/>
      <protection/>
    </xf>
    <xf numFmtId="41" fontId="106" fillId="47" borderId="42" xfId="0" applyNumberFormat="1" applyFont="1" applyFill="1" applyBorder="1" applyAlignment="1" applyProtection="1">
      <alignment horizontal="right" vertical="center"/>
      <protection/>
    </xf>
    <xf numFmtId="41" fontId="106" fillId="47" borderId="41" xfId="147" applyNumberFormat="1" applyFont="1" applyFill="1" applyBorder="1" applyAlignment="1" applyProtection="1">
      <alignment horizontal="right" vertical="center"/>
      <protection/>
    </xf>
    <xf numFmtId="41" fontId="106" fillId="47" borderId="41" xfId="0" applyNumberFormat="1" applyFont="1" applyFill="1" applyBorder="1" applyAlignment="1">
      <alignment horizontal="right"/>
    </xf>
    <xf numFmtId="3" fontId="4" fillId="0" borderId="20" xfId="135" applyNumberFormat="1" applyFont="1" applyFill="1" applyBorder="1" applyAlignment="1" applyProtection="1">
      <alignment horizontal="right" vertical="center"/>
      <protection/>
    </xf>
    <xf numFmtId="3" fontId="4" fillId="47" borderId="20" xfId="0" applyNumberFormat="1" applyFont="1" applyFill="1" applyBorder="1" applyAlignment="1" applyProtection="1">
      <alignment horizontal="right" vertical="center"/>
      <protection/>
    </xf>
    <xf numFmtId="49" fontId="4" fillId="51" borderId="20" xfId="0" applyNumberFormat="1" applyFont="1" applyFill="1" applyBorder="1" applyAlignment="1" applyProtection="1">
      <alignment horizontal="right" vertical="center"/>
      <protection/>
    </xf>
    <xf numFmtId="49" fontId="4" fillId="47" borderId="20" xfId="147" applyNumberFormat="1" applyFont="1" applyFill="1" applyBorder="1" applyAlignment="1" applyProtection="1">
      <alignment horizontal="right" vertical="center"/>
      <protection/>
    </xf>
    <xf numFmtId="49" fontId="4" fillId="47" borderId="20" xfId="0" applyNumberFormat="1" applyFont="1" applyFill="1" applyBorder="1" applyAlignment="1">
      <alignment horizontal="right"/>
    </xf>
    <xf numFmtId="1" fontId="4" fillId="47" borderId="20" xfId="0" applyNumberFormat="1" applyFont="1" applyFill="1" applyBorder="1" applyAlignment="1" applyProtection="1">
      <alignment horizontal="right" vertical="center"/>
      <protection/>
    </xf>
    <xf numFmtId="1" fontId="4" fillId="47" borderId="20" xfId="147" applyNumberFormat="1" applyFont="1" applyFill="1" applyBorder="1" applyAlignment="1" applyProtection="1">
      <alignment horizontal="right" vertical="center"/>
      <protection/>
    </xf>
    <xf numFmtId="1" fontId="4" fillId="47" borderId="20" xfId="0" applyNumberFormat="1" applyFont="1" applyFill="1" applyBorder="1" applyAlignment="1">
      <alignment horizontal="right"/>
    </xf>
    <xf numFmtId="3" fontId="4" fillId="51" borderId="20" xfId="135" applyNumberFormat="1" applyFont="1" applyFill="1" applyBorder="1" applyAlignment="1" applyProtection="1">
      <alignment horizontal="right" vertical="center"/>
      <protection/>
    </xf>
    <xf numFmtId="3" fontId="4" fillId="47" borderId="20" xfId="148" applyNumberFormat="1" applyFont="1" applyFill="1" applyBorder="1" applyAlignment="1" applyProtection="1">
      <alignment horizontal="right" vertical="center"/>
      <protection/>
    </xf>
    <xf numFmtId="3" fontId="4" fillId="51" borderId="43" xfId="135" applyNumberFormat="1" applyFont="1" applyFill="1" applyBorder="1" applyAlignment="1" applyProtection="1">
      <alignment horizontal="right" vertical="center"/>
      <protection/>
    </xf>
    <xf numFmtId="3" fontId="4" fillId="0" borderId="43" xfId="135" applyNumberFormat="1" applyFont="1" applyFill="1" applyBorder="1" applyAlignment="1" applyProtection="1">
      <alignment horizontal="right" vertical="center"/>
      <protection/>
    </xf>
    <xf numFmtId="1" fontId="4" fillId="47" borderId="20" xfId="0" applyNumberFormat="1" applyFont="1" applyFill="1" applyBorder="1" applyAlignment="1" applyProtection="1">
      <alignment horizontal="right" vertical="center"/>
      <protection/>
    </xf>
    <xf numFmtId="1" fontId="106" fillId="53" borderId="44" xfId="0" applyNumberFormat="1" applyFont="1" applyFill="1" applyBorder="1" applyAlignment="1" applyProtection="1">
      <alignment horizontal="right" vertical="center"/>
      <protection/>
    </xf>
    <xf numFmtId="3" fontId="4" fillId="0" borderId="44" xfId="135" applyNumberFormat="1" applyFont="1" applyFill="1" applyBorder="1" applyAlignment="1" applyProtection="1">
      <alignment horizontal="right" vertical="center"/>
      <protection/>
    </xf>
    <xf numFmtId="41" fontId="4" fillId="47" borderId="20" xfId="0" applyNumberFormat="1" applyFont="1" applyFill="1" applyBorder="1" applyAlignment="1" applyProtection="1">
      <alignment horizontal="right" vertical="center"/>
      <protection/>
    </xf>
    <xf numFmtId="1" fontId="106" fillId="53" borderId="44" xfId="147" applyNumberFormat="1" applyFont="1" applyFill="1" applyBorder="1" applyAlignment="1" applyProtection="1">
      <alignment horizontal="right" vertical="center"/>
      <protection/>
    </xf>
    <xf numFmtId="1" fontId="106" fillId="53" borderId="44" xfId="0" applyNumberFormat="1" applyFont="1" applyFill="1" applyBorder="1" applyAlignment="1">
      <alignment horizontal="right"/>
    </xf>
    <xf numFmtId="1" fontId="106" fillId="47" borderId="20" xfId="0" applyNumberFormat="1" applyFont="1" applyFill="1" applyBorder="1" applyAlignment="1" applyProtection="1">
      <alignment horizontal="right" vertical="center"/>
      <protection/>
    </xf>
    <xf numFmtId="1" fontId="106" fillId="47" borderId="20" xfId="147" applyNumberFormat="1" applyFont="1" applyFill="1" applyBorder="1" applyAlignment="1" applyProtection="1">
      <alignment horizontal="right" vertical="center"/>
      <protection/>
    </xf>
    <xf numFmtId="1" fontId="106" fillId="47" borderId="20" xfId="0" applyNumberFormat="1" applyFont="1" applyFill="1" applyBorder="1" applyAlignment="1">
      <alignment horizontal="right"/>
    </xf>
    <xf numFmtId="3" fontId="4" fillId="0" borderId="20" xfId="135" applyNumberFormat="1" applyFont="1" applyFill="1" applyBorder="1" applyAlignment="1" applyProtection="1">
      <alignment horizontal="right" vertical="center"/>
      <protection/>
    </xf>
    <xf numFmtId="41" fontId="145" fillId="52" borderId="20" xfId="97" applyFont="1" applyFill="1" applyBorder="1" applyAlignment="1">
      <alignment horizontal="right"/>
    </xf>
    <xf numFmtId="3" fontId="4" fillId="47" borderId="20" xfId="147"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1" fontId="106" fillId="0" borderId="20" xfId="0" applyNumberFormat="1" applyFont="1" applyFill="1" applyBorder="1" applyAlignment="1" applyProtection="1">
      <alignment horizontal="right" vertical="center"/>
      <protection/>
    </xf>
    <xf numFmtId="1" fontId="106" fillId="0" borderId="20" xfId="0" applyNumberFormat="1" applyFont="1" applyFill="1" applyBorder="1" applyAlignment="1" applyProtection="1">
      <alignment horizontal="right" vertical="center"/>
      <protection/>
    </xf>
    <xf numFmtId="1" fontId="106" fillId="0" borderId="20" xfId="147" applyNumberFormat="1" applyFont="1" applyFill="1" applyBorder="1" applyAlignment="1" applyProtection="1">
      <alignment horizontal="right" vertical="center"/>
      <protection/>
    </xf>
    <xf numFmtId="1" fontId="106" fillId="0" borderId="20" xfId="0" applyNumberFormat="1" applyFont="1" applyFill="1" applyBorder="1" applyAlignment="1">
      <alignment horizontal="right"/>
    </xf>
    <xf numFmtId="49" fontId="106" fillId="0" borderId="20" xfId="0" applyNumberFormat="1" applyFont="1" applyFill="1" applyBorder="1" applyAlignment="1" applyProtection="1">
      <alignment horizontal="right" vertical="center"/>
      <protection/>
    </xf>
    <xf numFmtId="49" fontId="106" fillId="0" borderId="20" xfId="147" applyNumberFormat="1" applyFont="1" applyFill="1" applyBorder="1" applyAlignment="1" applyProtection="1">
      <alignment horizontal="right" vertical="center"/>
      <protection/>
    </xf>
    <xf numFmtId="49" fontId="106" fillId="0" borderId="20" xfId="0" applyNumberFormat="1" applyFont="1" applyFill="1" applyBorder="1" applyAlignment="1">
      <alignment horizontal="right"/>
    </xf>
    <xf numFmtId="194" fontId="4" fillId="47" borderId="20" xfId="96"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41" fontId="5" fillId="51" borderId="20" xfId="97" applyFont="1" applyFill="1" applyBorder="1" applyAlignment="1" applyProtection="1">
      <alignment horizontal="right" vertical="center"/>
      <protection/>
    </xf>
    <xf numFmtId="41" fontId="5" fillId="51" borderId="20" xfId="97" applyFont="1" applyFill="1" applyBorder="1" applyAlignment="1">
      <alignment horizontal="right"/>
    </xf>
    <xf numFmtId="41" fontId="147" fillId="50" borderId="20" xfId="97" applyFont="1" applyFill="1" applyBorder="1" applyAlignment="1">
      <alignment horizontal="right"/>
    </xf>
    <xf numFmtId="194" fontId="5" fillId="0"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pplyProtection="1">
      <alignment horizontal="right" vertical="center"/>
      <protection/>
    </xf>
    <xf numFmtId="194" fontId="150" fillId="51" borderId="20" xfId="96" applyNumberFormat="1" applyFont="1" applyFill="1" applyBorder="1" applyAlignment="1" applyProtection="1">
      <alignment horizontal="right" vertical="center"/>
      <protection/>
    </xf>
    <xf numFmtId="194" fontId="150" fillId="51" borderId="20" xfId="96" applyNumberFormat="1" applyFont="1" applyFill="1" applyBorder="1" applyAlignment="1">
      <alignment horizontal="right"/>
    </xf>
    <xf numFmtId="41" fontId="5" fillId="47" borderId="45" xfId="0" applyNumberFormat="1" applyFont="1" applyFill="1" applyBorder="1" applyAlignment="1">
      <alignment horizontal="right" vertical="center"/>
    </xf>
    <xf numFmtId="41" fontId="105" fillId="0" borderId="41" xfId="0" applyNumberFormat="1" applyFont="1" applyFill="1" applyBorder="1" applyAlignment="1" applyProtection="1">
      <alignment horizontal="right" vertical="center"/>
      <protection/>
    </xf>
    <xf numFmtId="41" fontId="29" fillId="47" borderId="41" xfId="0" applyNumberFormat="1" applyFont="1" applyFill="1" applyBorder="1" applyAlignment="1">
      <alignment horizontal="right" vertical="center"/>
    </xf>
    <xf numFmtId="41" fontId="105" fillId="0" borderId="41" xfId="0" applyNumberFormat="1" applyFont="1" applyFill="1" applyBorder="1" applyAlignment="1">
      <alignment horizontal="right"/>
    </xf>
    <xf numFmtId="41" fontId="105" fillId="0" borderId="41" xfId="0" applyNumberFormat="1" applyFont="1" applyFill="1" applyBorder="1" applyAlignment="1">
      <alignment horizontal="right" wrapText="1"/>
    </xf>
    <xf numFmtId="41" fontId="5" fillId="47" borderId="41" xfId="0" applyNumberFormat="1" applyFont="1" applyFill="1" applyBorder="1" applyAlignment="1" applyProtection="1">
      <alignment horizontal="right" vertical="center"/>
      <protection/>
    </xf>
    <xf numFmtId="41" fontId="105" fillId="47" borderId="41" xfId="0" applyNumberFormat="1" applyFont="1" applyFill="1" applyBorder="1" applyAlignment="1" applyProtection="1">
      <alignment horizontal="right" vertical="center"/>
      <protection/>
    </xf>
    <xf numFmtId="41" fontId="105" fillId="47" borderId="45" xfId="0" applyNumberFormat="1" applyFont="1" applyFill="1" applyBorder="1" applyAlignment="1" applyProtection="1">
      <alignment horizontal="right" vertical="center"/>
      <protection/>
    </xf>
    <xf numFmtId="41" fontId="105" fillId="47" borderId="41" xfId="147" applyNumberFormat="1" applyFont="1" applyFill="1" applyBorder="1" applyAlignment="1" applyProtection="1">
      <alignment horizontal="right" vertical="center"/>
      <protection/>
    </xf>
    <xf numFmtId="41" fontId="105" fillId="47" borderId="41" xfId="0" applyNumberFormat="1" applyFont="1" applyFill="1" applyBorder="1" applyAlignment="1">
      <alignment horizontal="right"/>
    </xf>
    <xf numFmtId="41" fontId="147" fillId="54" borderId="20" xfId="97" applyFont="1" applyFill="1" applyBorder="1" applyAlignment="1">
      <alignment horizontal="right"/>
    </xf>
    <xf numFmtId="41" fontId="147" fillId="52" borderId="20" xfId="97" applyFont="1" applyFill="1" applyBorder="1" applyAlignment="1">
      <alignment horizontal="right"/>
    </xf>
    <xf numFmtId="3" fontId="5" fillId="0" borderId="20" xfId="135"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7"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49" fontId="5" fillId="47" borderId="20" xfId="147" applyNumberFormat="1" applyFont="1" applyFill="1" applyBorder="1" applyAlignment="1" applyProtection="1">
      <alignment horizontal="right" vertical="center"/>
      <protection/>
    </xf>
    <xf numFmtId="3" fontId="5" fillId="0" borderId="44" xfId="135" applyNumberFormat="1" applyFont="1" applyFill="1" applyBorder="1" applyAlignment="1" applyProtection="1">
      <alignment horizontal="right" vertical="center"/>
      <protection/>
    </xf>
    <xf numFmtId="3" fontId="6" fillId="0" borderId="44" xfId="135" applyNumberFormat="1" applyFont="1" applyFill="1" applyBorder="1" applyAlignment="1" applyProtection="1">
      <alignment horizontal="right" vertical="center"/>
      <protection/>
    </xf>
    <xf numFmtId="3" fontId="6" fillId="0" borderId="44" xfId="135" applyNumberFormat="1" applyFont="1" applyFill="1" applyBorder="1" applyAlignment="1" applyProtection="1">
      <alignment horizontal="right" vertical="center"/>
      <protection/>
    </xf>
    <xf numFmtId="3" fontId="5" fillId="0" borderId="44" xfId="135" applyNumberFormat="1" applyFont="1" applyFill="1" applyBorder="1" applyAlignment="1" applyProtection="1">
      <alignment horizontal="right" vertical="center"/>
      <protection/>
    </xf>
    <xf numFmtId="3" fontId="6" fillId="0" borderId="20" xfId="135" applyNumberFormat="1" applyFont="1" applyFill="1" applyBorder="1" applyAlignment="1" applyProtection="1">
      <alignment horizontal="right" vertical="center"/>
      <protection/>
    </xf>
    <xf numFmtId="41" fontId="150" fillId="52" borderId="20" xfId="97" applyFont="1" applyFill="1" applyBorder="1" applyAlignment="1">
      <alignment horizontal="right"/>
    </xf>
    <xf numFmtId="3" fontId="105" fillId="0" borderId="20" xfId="0" applyNumberFormat="1" applyFont="1" applyFill="1" applyBorder="1" applyAlignment="1" applyProtection="1">
      <alignment horizontal="right" vertical="center"/>
      <protection/>
    </xf>
    <xf numFmtId="3" fontId="103" fillId="0" borderId="20" xfId="0" applyNumberFormat="1" applyFont="1" applyFill="1" applyBorder="1" applyAlignment="1" applyProtection="1">
      <alignment horizontal="right" vertical="center"/>
      <protection/>
    </xf>
    <xf numFmtId="3" fontId="103" fillId="0" borderId="20" xfId="147" applyNumberFormat="1" applyFont="1" applyFill="1" applyBorder="1" applyAlignment="1" applyProtection="1">
      <alignment horizontal="right" vertical="center"/>
      <protection/>
    </xf>
    <xf numFmtId="3" fontId="103" fillId="0" borderId="20" xfId="0" applyNumberFormat="1" applyFont="1" applyFill="1" applyBorder="1" applyAlignment="1">
      <alignment horizontal="right"/>
    </xf>
    <xf numFmtId="3" fontId="105" fillId="0" borderId="20" xfId="0" applyNumberFormat="1" applyFont="1" applyFill="1" applyBorder="1" applyAlignment="1">
      <alignment horizontal="right"/>
    </xf>
    <xf numFmtId="194" fontId="24" fillId="47" borderId="20" xfId="96" applyNumberFormat="1" applyFont="1" applyFill="1" applyBorder="1" applyAlignment="1" applyProtection="1">
      <alignment horizontal="right" vertical="center"/>
      <protection/>
    </xf>
    <xf numFmtId="194" fontId="24" fillId="47" borderId="20" xfId="96" applyNumberFormat="1" applyFont="1" applyFill="1" applyBorder="1" applyAlignment="1">
      <alignment horizontal="righ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7"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6" applyNumberFormat="1" applyFont="1" applyBorder="1" applyAlignment="1">
      <alignment horizontal="center" wrapText="1"/>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7" fillId="0" borderId="26" xfId="136" applyNumberFormat="1" applyFont="1" applyBorder="1" applyAlignment="1">
      <alignment horizontal="center" vertical="center" wrapText="1"/>
      <protection/>
    </xf>
    <xf numFmtId="49" fontId="7" fillId="0" borderId="47"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39"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3"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1" fillId="0" borderId="0" xfId="136" applyNumberFormat="1" applyFont="1" applyBorder="1" applyAlignment="1">
      <alignment horizontal="center" wrapText="1"/>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6"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20"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7"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39"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2"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18" fillId="0" borderId="0" xfId="136" applyNumberFormat="1" applyFont="1" applyBorder="1" applyAlignment="1">
      <alignment horizontal="left"/>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6" fillId="0" borderId="20" xfId="138" applyNumberFormat="1" applyFont="1" applyFill="1" applyBorder="1" applyAlignment="1">
      <alignment horizontal="center" vertical="center" wrapText="1"/>
      <protection/>
    </xf>
    <xf numFmtId="49" fontId="85" fillId="3" borderId="26" xfId="138" applyNumberFormat="1" applyFont="1" applyFill="1" applyBorder="1" applyAlignment="1">
      <alignment horizontal="center" vertical="center" wrapText="1"/>
      <protection/>
    </xf>
    <xf numFmtId="49" fontId="85" fillId="3" borderId="25"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49" fontId="3" fillId="0" borderId="0" xfId="138" applyNumberFormat="1" applyFont="1" applyBorder="1" applyAlignment="1">
      <alignment horizontal="left"/>
      <protection/>
    </xf>
    <xf numFmtId="49" fontId="6" fillId="0" borderId="35" xfId="138" applyNumberFormat="1" applyFont="1" applyFill="1" applyBorder="1" applyAlignment="1">
      <alignment horizontal="center" vertical="center"/>
      <protection/>
    </xf>
    <xf numFmtId="49" fontId="6" fillId="0" borderId="36" xfId="138" applyNumberFormat="1" applyFont="1" applyFill="1" applyBorder="1" applyAlignment="1">
      <alignment horizontal="center" vertical="center"/>
      <protection/>
    </xf>
    <xf numFmtId="49" fontId="6" fillId="0" borderId="24" xfId="138" applyNumberFormat="1" applyFont="1" applyFill="1" applyBorder="1" applyAlignment="1">
      <alignment horizontal="center" vertical="center"/>
      <protection/>
    </xf>
    <xf numFmtId="49" fontId="6" fillId="0" borderId="4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37"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26" xfId="138" applyNumberFormat="1" applyFont="1" applyFill="1" applyBorder="1" applyAlignment="1">
      <alignment horizontal="center" vertical="center"/>
      <protection/>
    </xf>
    <xf numFmtId="49" fontId="6" fillId="0" borderId="47"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3"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wrapText="1"/>
      <protection/>
    </xf>
    <xf numFmtId="49" fontId="86" fillId="3" borderId="26" xfId="138" applyNumberFormat="1" applyFont="1" applyFill="1" applyBorder="1" applyAlignment="1">
      <alignment horizontal="center" vertical="center" wrapText="1"/>
      <protection/>
    </xf>
    <xf numFmtId="49" fontId="86" fillId="3" borderId="25"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47" borderId="0" xfId="138" applyFont="1" applyFill="1" applyBorder="1" applyAlignment="1">
      <alignment horizontal="center"/>
      <protection/>
    </xf>
    <xf numFmtId="49" fontId="31"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26" xfId="138" applyNumberFormat="1" applyFont="1" applyBorder="1" applyAlignment="1">
      <alignment horizontal="center" vertical="center" wrapText="1"/>
      <protection/>
    </xf>
    <xf numFmtId="49" fontId="6" fillId="0" borderId="25"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76" fillId="4" borderId="21" xfId="138" applyNumberFormat="1" applyFont="1" applyFill="1" applyBorder="1" applyAlignment="1">
      <alignment horizontal="center" vertical="center" wrapText="1"/>
      <protection/>
    </xf>
    <xf numFmtId="49" fontId="76" fillId="4" borderId="39" xfId="138" applyNumberFormat="1" applyFont="1" applyFill="1" applyBorder="1" applyAlignment="1">
      <alignment horizontal="center" vertical="center" wrapText="1"/>
      <protection/>
    </xf>
    <xf numFmtId="49" fontId="76" fillId="4" borderId="23"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4" fillId="0" borderId="26" xfId="138" applyNumberFormat="1" applyFont="1" applyBorder="1" applyAlignment="1">
      <alignment horizontal="center" vertical="center" wrapText="1"/>
      <protection/>
    </xf>
    <xf numFmtId="49" fontId="84" fillId="0" borderId="25"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49" fontId="6" fillId="0" borderId="21"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1" fillId="0" borderId="0" xfId="138" applyNumberFormat="1" applyFont="1" applyBorder="1" applyAlignment="1">
      <alignment horizontal="center"/>
      <protection/>
    </xf>
    <xf numFmtId="0" fontId="6" fillId="0" borderId="20" xfId="138" applyFont="1" applyBorder="1" applyAlignment="1">
      <alignment horizontal="center" vertical="center" wrapText="1"/>
      <protection/>
    </xf>
    <xf numFmtId="0" fontId="6" fillId="0" borderId="20" xfId="138" applyFont="1" applyBorder="1" applyAlignment="1">
      <alignment horizontal="center" vertical="center"/>
      <protection/>
    </xf>
    <xf numFmtId="0" fontId="6" fillId="0" borderId="20" xfId="138" applyFont="1" applyFill="1" applyBorder="1" applyAlignment="1">
      <alignment horizontal="center" vertical="center" wrapText="1"/>
      <protection/>
    </xf>
    <xf numFmtId="0" fontId="12" fillId="0" borderId="20" xfId="138" applyFont="1" applyBorder="1" applyAlignment="1">
      <alignment horizontal="center" vertical="center" wrapText="1"/>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14" fillId="0" borderId="0" xfId="138" applyFont="1" applyAlignment="1">
      <alignment horizontal="center"/>
      <protection/>
    </xf>
    <xf numFmtId="0" fontId="33" fillId="0" borderId="0" xfId="138" applyFont="1" applyAlignment="1">
      <alignment horizontal="center"/>
      <protection/>
    </xf>
    <xf numFmtId="0" fontId="6" fillId="0" borderId="35" xfId="138" applyFont="1" applyBorder="1" applyAlignment="1">
      <alignment horizontal="center" vertical="center" wrapText="1"/>
      <protection/>
    </xf>
    <xf numFmtId="0" fontId="6" fillId="0" borderId="19" xfId="138" applyFont="1" applyBorder="1" applyAlignment="1">
      <alignment horizontal="center" vertical="center" wrapText="1"/>
      <protection/>
    </xf>
    <xf numFmtId="0" fontId="6" fillId="0" borderId="36" xfId="138" applyFont="1" applyBorder="1" applyAlignment="1">
      <alignment horizontal="center" vertical="center" wrapText="1"/>
      <protection/>
    </xf>
    <xf numFmtId="0" fontId="6" fillId="0" borderId="24"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46" xfId="138" applyFont="1" applyBorder="1" applyAlignment="1">
      <alignment horizontal="center" vertical="center" wrapText="1"/>
      <protection/>
    </xf>
    <xf numFmtId="0" fontId="6" fillId="0" borderId="25" xfId="138" applyFont="1" applyBorder="1" applyAlignment="1">
      <alignment horizontal="center" vertical="center" wrapText="1"/>
      <protection/>
    </xf>
    <xf numFmtId="0" fontId="6" fillId="0" borderId="47" xfId="138" applyFont="1" applyBorder="1" applyAlignment="1">
      <alignment horizontal="center" vertical="center"/>
      <protection/>
    </xf>
    <xf numFmtId="0" fontId="6" fillId="0" borderId="25" xfId="138" applyFont="1" applyBorder="1" applyAlignment="1">
      <alignment horizontal="center" vertic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3" fontId="0" fillId="47" borderId="0" xfId="138" applyNumberFormat="1" applyFont="1" applyFill="1" applyBorder="1" applyAlignment="1">
      <alignment horizontal="left"/>
      <protection/>
    </xf>
    <xf numFmtId="0" fontId="13" fillId="0" borderId="22" xfId="138" applyFont="1" applyBorder="1" applyAlignment="1">
      <alignment horizontal="left"/>
      <protection/>
    </xf>
    <xf numFmtId="0" fontId="6" fillId="0" borderId="26" xfId="138" applyFont="1" applyBorder="1" applyAlignment="1">
      <alignment horizontal="center" vertical="center"/>
      <protection/>
    </xf>
    <xf numFmtId="0" fontId="31" fillId="0" borderId="0" xfId="138" applyNumberFormat="1" applyFont="1" applyBorder="1" applyAlignment="1">
      <alignment horizontal="center"/>
      <protection/>
    </xf>
    <xf numFmtId="0" fontId="31" fillId="0" borderId="0" xfId="138" applyFont="1" applyBorder="1" applyAlignment="1">
      <alignment horizontal="center" wrapText="1"/>
      <protection/>
    </xf>
    <xf numFmtId="0" fontId="25" fillId="0" borderId="0" xfId="138" applyFont="1" applyBorder="1" applyAlignment="1">
      <alignment horizontal="center" wrapText="1"/>
      <protection/>
    </xf>
    <xf numFmtId="0" fontId="67" fillId="3" borderId="26" xfId="138" applyFont="1" applyFill="1" applyBorder="1" applyAlignment="1">
      <alignment horizontal="center" vertical="center" wrapText="1"/>
      <protection/>
    </xf>
    <xf numFmtId="0" fontId="67" fillId="3" borderId="25"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68" fillId="3" borderId="26" xfId="138" applyFont="1" applyFill="1" applyBorder="1" applyAlignment="1">
      <alignment horizontal="center" vertical="center" wrapText="1"/>
      <protection/>
    </xf>
    <xf numFmtId="0" fontId="68" fillId="3" borderId="25" xfId="138" applyFont="1" applyFill="1" applyBorder="1" applyAlignment="1">
      <alignment horizontal="center" vertical="center" wrapText="1"/>
      <protection/>
    </xf>
    <xf numFmtId="0" fontId="88"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21" xfId="138" applyFont="1" applyBorder="1" applyAlignment="1">
      <alignment horizontal="center" vertical="center" wrapText="1"/>
      <protection/>
    </xf>
    <xf numFmtId="0" fontId="6" fillId="0" borderId="39" xfId="138" applyFont="1" applyBorder="1" applyAlignment="1">
      <alignment horizontal="center" vertical="center" wrapText="1"/>
      <protection/>
    </xf>
    <xf numFmtId="0" fontId="6" fillId="0" borderId="23" xfId="138" applyFont="1" applyBorder="1" applyAlignment="1">
      <alignment horizontal="center" vertical="center" wrapText="1"/>
      <protection/>
    </xf>
    <xf numFmtId="0" fontId="21" fillId="0" borderId="26" xfId="138" applyFont="1" applyBorder="1" applyAlignment="1">
      <alignment horizontal="center" vertical="center" wrapText="1"/>
      <protection/>
    </xf>
    <xf numFmtId="0" fontId="21" fillId="0" borderId="25" xfId="138" applyFont="1" applyBorder="1" applyAlignment="1">
      <alignment horizontal="center" vertical="center" wrapText="1"/>
      <protection/>
    </xf>
    <xf numFmtId="49" fontId="6" fillId="0" borderId="19"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22" xfId="138" applyNumberFormat="1" applyFont="1" applyFill="1" applyBorder="1" applyAlignment="1">
      <alignment horizontal="center" vertical="center"/>
      <protection/>
    </xf>
    <xf numFmtId="49" fontId="79" fillId="0" borderId="0" xfId="138" applyNumberFormat="1" applyFont="1" applyAlignment="1">
      <alignment horizontal="center"/>
      <protection/>
    </xf>
    <xf numFmtId="49" fontId="6" fillId="0" borderId="20" xfId="138" applyNumberFormat="1" applyFont="1" applyFill="1" applyBorder="1" applyAlignment="1">
      <alignment horizontal="center" vertical="center"/>
      <protection/>
    </xf>
    <xf numFmtId="49" fontId="77" fillId="3" borderId="26" xfId="138" applyNumberFormat="1" applyFont="1" applyFill="1" applyBorder="1" applyAlignment="1">
      <alignment horizontal="center" vertical="center" wrapText="1"/>
      <protection/>
    </xf>
    <xf numFmtId="49" fontId="77" fillId="3" borderId="25" xfId="138" applyNumberFormat="1" applyFont="1" applyFill="1" applyBorder="1" applyAlignment="1">
      <alignment horizontal="center" vertical="center" wrapText="1"/>
      <protection/>
    </xf>
    <xf numFmtId="49" fontId="75" fillId="3" borderId="26" xfId="138" applyNumberFormat="1" applyFont="1" applyFill="1" applyBorder="1" applyAlignment="1">
      <alignment horizontal="center" vertical="center" wrapText="1"/>
      <protection/>
    </xf>
    <xf numFmtId="49" fontId="75" fillId="3" borderId="25" xfId="138" applyNumberFormat="1" applyFont="1" applyFill="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47" borderId="0" xfId="138" applyNumberFormat="1" applyFont="1" applyFill="1" applyBorder="1" applyAlignment="1">
      <alignment horizontal="left" vertical="top" wrapText="1"/>
      <protection/>
    </xf>
    <xf numFmtId="49" fontId="3" fillId="47"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19" fillId="0" borderId="22" xfId="138" applyNumberFormat="1" applyFont="1" applyBorder="1" applyAlignment="1">
      <alignment horizontal="center"/>
      <protection/>
    </xf>
    <xf numFmtId="49" fontId="74" fillId="0" borderId="20" xfId="138" applyNumberFormat="1" applyFont="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26"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26" xfId="138" applyNumberFormat="1" applyFont="1" applyBorder="1" applyAlignment="1">
      <alignment horizontal="center" vertical="center" wrapText="1"/>
      <protection/>
    </xf>
    <xf numFmtId="49" fontId="19" fillId="0" borderId="25" xfId="138" applyNumberFormat="1" applyFont="1" applyBorder="1" applyAlignment="1">
      <alignment horizontal="center" vertical="center" wrapText="1"/>
      <protection/>
    </xf>
    <xf numFmtId="49" fontId="90" fillId="3" borderId="26" xfId="138" applyNumberFormat="1" applyFont="1" applyFill="1" applyBorder="1" applyAlignment="1">
      <alignment horizontal="center" vertical="center" wrapText="1"/>
      <protection/>
    </xf>
    <xf numFmtId="49" fontId="90" fillId="3" borderId="25"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wrapText="1"/>
      <protection/>
    </xf>
    <xf numFmtId="49" fontId="89" fillId="3" borderId="25" xfId="138" applyNumberFormat="1" applyFont="1" applyFill="1" applyBorder="1" applyAlignment="1">
      <alignment horizontal="center" vertical="center" wrapText="1"/>
      <protection/>
    </xf>
    <xf numFmtId="49" fontId="6" fillId="0" borderId="21" xfId="138" applyNumberFormat="1" applyFont="1" applyBorder="1" applyAlignment="1">
      <alignment horizontal="center" vertical="center" wrapText="1"/>
      <protection/>
    </xf>
    <xf numFmtId="49" fontId="6" fillId="0" borderId="23" xfId="138" applyNumberFormat="1" applyFont="1" applyBorder="1" applyAlignment="1">
      <alignment horizontal="center" vertical="center" wrapText="1"/>
      <protection/>
    </xf>
    <xf numFmtId="49" fontId="6" fillId="0" borderId="39" xfId="138" applyNumberFormat="1" applyFont="1" applyBorder="1" applyAlignment="1">
      <alignment horizontal="center" vertical="center" wrapText="1"/>
      <protection/>
    </xf>
    <xf numFmtId="49" fontId="6" fillId="0" borderId="47"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18" fillId="0" borderId="22" xfId="138" applyNumberFormat="1" applyFont="1" applyBorder="1" applyAlignment="1">
      <alignment horizontal="left"/>
      <protection/>
    </xf>
    <xf numFmtId="49" fontId="31" fillId="0" borderId="0" xfId="138" applyNumberFormat="1" applyFont="1" applyBorder="1" applyAlignment="1">
      <alignment horizontal="left" wrapText="1"/>
      <protection/>
    </xf>
    <xf numFmtId="49" fontId="6" fillId="0" borderId="47"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protection/>
    </xf>
    <xf numFmtId="49" fontId="89" fillId="3" borderId="25" xfId="138" applyNumberFormat="1" applyFont="1" applyFill="1" applyBorder="1" applyAlignment="1">
      <alignment horizontal="center" vertical="center"/>
      <protection/>
    </xf>
    <xf numFmtId="49" fontId="28" fillId="0" borderId="0" xfId="138" applyNumberFormat="1" applyFont="1" applyAlignment="1">
      <alignment horizontal="center"/>
      <protection/>
    </xf>
    <xf numFmtId="49" fontId="0" fillId="0" borderId="0" xfId="138" applyNumberFormat="1" applyFont="1" applyFill="1" applyAlignment="1">
      <alignment horizontal="left"/>
      <protection/>
    </xf>
    <xf numFmtId="49" fontId="13" fillId="0" borderId="22"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wrapText="1"/>
      <protection/>
    </xf>
    <xf numFmtId="49" fontId="6" fillId="0" borderId="37" xfId="138" applyNumberFormat="1" applyFont="1" applyFill="1" applyBorder="1" applyAlignment="1">
      <alignment horizontal="center" vertical="center" wrapText="1"/>
      <protection/>
    </xf>
    <xf numFmtId="49" fontId="6" fillId="0" borderId="35" xfId="138" applyNumberFormat="1" applyFont="1" applyFill="1" applyBorder="1" applyAlignment="1">
      <alignment horizontal="center" vertical="center" wrapText="1"/>
      <protection/>
    </xf>
    <xf numFmtId="49" fontId="6" fillId="0" borderId="36" xfId="138" applyNumberFormat="1" applyFont="1" applyFill="1" applyBorder="1" applyAlignment="1">
      <alignment horizontal="center" vertical="center" wrapText="1"/>
      <protection/>
    </xf>
    <xf numFmtId="49" fontId="6" fillId="0" borderId="24" xfId="138" applyNumberFormat="1" applyFont="1" applyFill="1" applyBorder="1" applyAlignment="1">
      <alignment horizontal="center" vertical="center" wrapText="1"/>
      <protection/>
    </xf>
    <xf numFmtId="49" fontId="6" fillId="0" borderId="46" xfId="138" applyNumberFormat="1" applyFont="1" applyFill="1" applyBorder="1" applyAlignment="1">
      <alignment horizontal="center" vertical="center" wrapText="1"/>
      <protection/>
    </xf>
    <xf numFmtId="0" fontId="82" fillId="0" borderId="47" xfId="138" applyFont="1" applyFill="1" applyBorder="1" applyAlignment="1">
      <alignment horizontal="center" vertical="center" wrapText="1"/>
      <protection/>
    </xf>
    <xf numFmtId="0" fontId="82" fillId="0" borderId="25" xfId="138" applyFont="1" applyFill="1" applyBorder="1" applyAlignment="1">
      <alignment horizontal="center" vertical="center" wrapText="1"/>
      <protection/>
    </xf>
    <xf numFmtId="49" fontId="90" fillId="3" borderId="26" xfId="138" applyNumberFormat="1" applyFont="1" applyFill="1" applyBorder="1" applyAlignment="1">
      <alignment horizontal="center" vertical="center"/>
      <protection/>
    </xf>
    <xf numFmtId="49" fontId="90" fillId="3" borderId="25" xfId="138" applyNumberFormat="1" applyFont="1" applyFill="1" applyBorder="1" applyAlignment="1">
      <alignment horizontal="center" vertical="center"/>
      <protection/>
    </xf>
    <xf numFmtId="49" fontId="19" fillId="0" borderId="26" xfId="138" applyNumberFormat="1" applyFont="1" applyFill="1" applyBorder="1" applyAlignment="1">
      <alignment horizontal="center" vertical="center"/>
      <protection/>
    </xf>
    <xf numFmtId="49" fontId="19" fillId="0" borderId="25" xfId="138" applyNumberFormat="1" applyFont="1" applyFill="1" applyBorder="1" applyAlignment="1">
      <alignment horizontal="center" vertical="center"/>
      <protection/>
    </xf>
    <xf numFmtId="49" fontId="6" fillId="47" borderId="26" xfId="138" applyNumberFormat="1" applyFont="1" applyFill="1" applyBorder="1" applyAlignment="1">
      <alignment horizontal="center" vertical="center"/>
      <protection/>
    </xf>
    <xf numFmtId="49" fontId="6" fillId="47" borderId="25" xfId="138" applyNumberFormat="1" applyFont="1" applyFill="1" applyBorder="1" applyAlignment="1">
      <alignment horizontal="center" vertical="center"/>
      <protection/>
    </xf>
    <xf numFmtId="49" fontId="18" fillId="0" borderId="0" xfId="138" applyNumberFormat="1" applyFont="1" applyFill="1" applyBorder="1" applyAlignment="1">
      <alignment horizontal="left"/>
      <protection/>
    </xf>
    <xf numFmtId="0" fontId="14" fillId="0" borderId="0" xfId="138" applyNumberFormat="1" applyFont="1" applyAlignment="1">
      <alignment horizontal="center"/>
      <protection/>
    </xf>
    <xf numFmtId="0" fontId="33" fillId="0" borderId="0" xfId="138" applyNumberFormat="1" applyFont="1" applyAlignment="1">
      <alignment horizontal="center"/>
      <protection/>
    </xf>
    <xf numFmtId="0" fontId="23" fillId="0" borderId="0" xfId="138" applyNumberFormat="1" applyFont="1" applyAlignment="1">
      <alignment horizontal="center"/>
      <protection/>
    </xf>
    <xf numFmtId="0" fontId="7" fillId="0" borderId="20" xfId="138" applyFont="1" applyFill="1" applyBorder="1" applyAlignment="1">
      <alignment horizontal="center" vertical="center" wrapText="1"/>
      <protection/>
    </xf>
    <xf numFmtId="0" fontId="18" fillId="0" borderId="0" xfId="138" applyFont="1" applyBorder="1" applyAlignment="1">
      <alignment horizontal="left"/>
      <protection/>
    </xf>
    <xf numFmtId="0" fontId="13" fillId="0" borderId="0" xfId="138" applyFont="1" applyAlignment="1">
      <alignment horizontal="center"/>
      <protection/>
    </xf>
    <xf numFmtId="49" fontId="31" fillId="0" borderId="0" xfId="138" applyNumberFormat="1" applyFont="1" applyBorder="1" applyAlignment="1">
      <alignment horizontal="justify" vertical="justify" wrapText="1"/>
      <protection/>
    </xf>
    <xf numFmtId="0" fontId="28" fillId="47" borderId="0" xfId="138" applyFont="1" applyFill="1" applyBorder="1" applyAlignment="1">
      <alignment horizontal="center"/>
      <protection/>
    </xf>
    <xf numFmtId="49" fontId="7" fillId="0" borderId="35" xfId="138" applyNumberFormat="1" applyFont="1" applyFill="1" applyBorder="1" applyAlignment="1">
      <alignment horizontal="center" vertical="center"/>
      <protection/>
    </xf>
    <xf numFmtId="49" fontId="7" fillId="0" borderId="36" xfId="138" applyNumberFormat="1" applyFont="1" applyFill="1" applyBorder="1" applyAlignment="1">
      <alignment horizontal="center" vertical="center"/>
      <protection/>
    </xf>
    <xf numFmtId="49" fontId="7" fillId="0" borderId="24" xfId="138" applyNumberFormat="1" applyFont="1" applyFill="1" applyBorder="1" applyAlignment="1">
      <alignment horizontal="center" vertical="center"/>
      <protection/>
    </xf>
    <xf numFmtId="49" fontId="7" fillId="0" borderId="4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37" xfId="138" applyNumberFormat="1" applyFont="1" applyFill="1" applyBorder="1" applyAlignment="1">
      <alignment horizontal="center" vertical="center"/>
      <protection/>
    </xf>
    <xf numFmtId="0" fontId="25" fillId="0" borderId="0" xfId="138" applyFont="1" applyAlignment="1">
      <alignment horizontal="center"/>
      <protection/>
    </xf>
    <xf numFmtId="49" fontId="25" fillId="47" borderId="48" xfId="0" applyNumberFormat="1" applyFont="1" applyFill="1" applyBorder="1" applyAlignment="1">
      <alignment horizontal="center" vertical="center"/>
    </xf>
    <xf numFmtId="49" fontId="25" fillId="47" borderId="49"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7"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49" fontId="16" fillId="0" borderId="50"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49" fontId="4" fillId="0" borderId="0" xfId="0" applyNumberFormat="1" applyFont="1" applyFill="1" applyAlignment="1">
      <alignment horizontal="left"/>
    </xf>
    <xf numFmtId="0" fontId="6" fillId="0" borderId="0" xfId="0" applyNumberFormat="1" applyFont="1" applyFill="1" applyBorder="1" applyAlignment="1">
      <alignment horizontal="left" wrapText="1"/>
    </xf>
    <xf numFmtId="49" fontId="7" fillId="0" borderId="51" xfId="0" applyNumberFormat="1" applyFont="1" applyFill="1" applyBorder="1" applyAlignment="1" applyProtection="1">
      <alignment horizontal="center" vertical="center" wrapText="1"/>
      <protection/>
    </xf>
    <xf numFmtId="49" fontId="21" fillId="0" borderId="5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8" fillId="0" borderId="52" xfId="0" applyNumberFormat="1" applyFont="1" applyFill="1" applyBorder="1" applyAlignment="1">
      <alignment horizontal="center"/>
    </xf>
    <xf numFmtId="49" fontId="7" fillId="0" borderId="51" xfId="0" applyNumberFormat="1" applyFont="1" applyFill="1" applyBorder="1" applyAlignment="1">
      <alignment horizontal="center" vertical="center" wrapText="1"/>
    </xf>
    <xf numFmtId="1" fontId="7" fillId="0" borderId="51" xfId="0" applyNumberFormat="1" applyFont="1" applyFill="1" applyBorder="1" applyAlignment="1">
      <alignment horizontal="center" vertic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4" fillId="0" borderId="53"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0" fontId="7" fillId="0" borderId="54"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rmal_Sheet2" xfId="139"/>
    <cellStyle name="Normal_Sheet7"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 val="Việc lũy tiến"/>
      <sheetName val="Tiền lũy tiế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02" t="s">
        <v>26</v>
      </c>
      <c r="B1" s="602"/>
      <c r="C1" s="601" t="s">
        <v>74</v>
      </c>
      <c r="D1" s="601"/>
      <c r="E1" s="601"/>
      <c r="F1" s="603" t="s">
        <v>70</v>
      </c>
      <c r="G1" s="603"/>
      <c r="H1" s="603"/>
    </row>
    <row r="2" spans="1:8" ht="33.75" customHeight="1">
      <c r="A2" s="604" t="s">
        <v>77</v>
      </c>
      <c r="B2" s="604"/>
      <c r="C2" s="601"/>
      <c r="D2" s="601"/>
      <c r="E2" s="601"/>
      <c r="F2" s="600" t="s">
        <v>71</v>
      </c>
      <c r="G2" s="600"/>
      <c r="H2" s="600"/>
    </row>
    <row r="3" spans="1:8" ht="19.5" customHeight="1">
      <c r="A3" s="6" t="s">
        <v>65</v>
      </c>
      <c r="B3" s="6"/>
      <c r="C3" s="24"/>
      <c r="D3" s="24"/>
      <c r="E3" s="24"/>
      <c r="F3" s="600" t="s">
        <v>72</v>
      </c>
      <c r="G3" s="600"/>
      <c r="H3" s="600"/>
    </row>
    <row r="4" spans="1:8" s="7" customFormat="1" ht="19.5" customHeight="1">
      <c r="A4" s="6"/>
      <c r="B4" s="6"/>
      <c r="D4" s="8"/>
      <c r="F4" s="9" t="s">
        <v>73</v>
      </c>
      <c r="G4" s="9"/>
      <c r="H4" s="9"/>
    </row>
    <row r="5" spans="1:8" s="23" customFormat="1" ht="36" customHeight="1">
      <c r="A5" s="582" t="s">
        <v>57</v>
      </c>
      <c r="B5" s="583"/>
      <c r="C5" s="586" t="s">
        <v>68</v>
      </c>
      <c r="D5" s="587"/>
      <c r="E5" s="588" t="s">
        <v>67</v>
      </c>
      <c r="F5" s="588"/>
      <c r="G5" s="588"/>
      <c r="H5" s="589"/>
    </row>
    <row r="6" spans="1:8" s="23" customFormat="1" ht="20.25" customHeight="1">
      <c r="A6" s="584"/>
      <c r="B6" s="585"/>
      <c r="C6" s="590" t="s">
        <v>3</v>
      </c>
      <c r="D6" s="590" t="s">
        <v>75</v>
      </c>
      <c r="E6" s="592" t="s">
        <v>69</v>
      </c>
      <c r="F6" s="589"/>
      <c r="G6" s="592" t="s">
        <v>76</v>
      </c>
      <c r="H6" s="589"/>
    </row>
    <row r="7" spans="1:8" s="23" customFormat="1" ht="52.5" customHeight="1">
      <c r="A7" s="584"/>
      <c r="B7" s="585"/>
      <c r="C7" s="591"/>
      <c r="D7" s="591"/>
      <c r="E7" s="5" t="s">
        <v>3</v>
      </c>
      <c r="F7" s="5" t="s">
        <v>9</v>
      </c>
      <c r="G7" s="5" t="s">
        <v>3</v>
      </c>
      <c r="H7" s="5" t="s">
        <v>9</v>
      </c>
    </row>
    <row r="8" spans="1:8" ht="15" customHeight="1">
      <c r="A8" s="594" t="s">
        <v>6</v>
      </c>
      <c r="B8" s="595"/>
      <c r="C8" s="10">
        <v>1</v>
      </c>
      <c r="D8" s="10" t="s">
        <v>44</v>
      </c>
      <c r="E8" s="10" t="s">
        <v>49</v>
      </c>
      <c r="F8" s="10" t="s">
        <v>58</v>
      </c>
      <c r="G8" s="10" t="s">
        <v>59</v>
      </c>
      <c r="H8" s="10" t="s">
        <v>60</v>
      </c>
    </row>
    <row r="9" spans="1:8" ht="26.25" customHeight="1">
      <c r="A9" s="596" t="s">
        <v>33</v>
      </c>
      <c r="B9" s="59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98" t="s">
        <v>56</v>
      </c>
      <c r="C16" s="598"/>
      <c r="D16" s="26"/>
      <c r="E16" s="579" t="s">
        <v>19</v>
      </c>
      <c r="F16" s="579"/>
      <c r="G16" s="579"/>
      <c r="H16" s="579"/>
    </row>
    <row r="17" spans="2:8" ht="15.75" customHeight="1">
      <c r="B17" s="598"/>
      <c r="C17" s="598"/>
      <c r="D17" s="26"/>
      <c r="E17" s="580" t="s">
        <v>38</v>
      </c>
      <c r="F17" s="580"/>
      <c r="G17" s="580"/>
      <c r="H17" s="580"/>
    </row>
    <row r="18" spans="2:8" s="27" customFormat="1" ht="15.75" customHeight="1">
      <c r="B18" s="598"/>
      <c r="C18" s="598"/>
      <c r="D18" s="28"/>
      <c r="E18" s="581" t="s">
        <v>55</v>
      </c>
      <c r="F18" s="581"/>
      <c r="G18" s="581"/>
      <c r="H18" s="581"/>
    </row>
    <row r="20" ht="15.75">
      <c r="B20" s="19"/>
    </row>
    <row r="22" ht="15.75" hidden="1">
      <c r="A22" s="20" t="s">
        <v>41</v>
      </c>
    </row>
    <row r="23" spans="1:3" ht="15.75" hidden="1">
      <c r="A23" s="21"/>
      <c r="B23" s="599" t="s">
        <v>50</v>
      </c>
      <c r="C23" s="599"/>
    </row>
    <row r="24" spans="1:8" ht="15.75" customHeight="1" hidden="1">
      <c r="A24" s="22" t="s">
        <v>25</v>
      </c>
      <c r="B24" s="593" t="s">
        <v>53</v>
      </c>
      <c r="C24" s="593"/>
      <c r="D24" s="22"/>
      <c r="E24" s="22"/>
      <c r="F24" s="22"/>
      <c r="G24" s="22"/>
      <c r="H24" s="22"/>
    </row>
    <row r="25" spans="1:8" ht="15" customHeight="1" hidden="1">
      <c r="A25" s="22"/>
      <c r="B25" s="593" t="s">
        <v>54</v>
      </c>
      <c r="C25" s="593"/>
      <c r="D25" s="593"/>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4" t="s">
        <v>231</v>
      </c>
      <c r="B1" s="774"/>
      <c r="C1" s="774"/>
      <c r="D1" s="777" t="s">
        <v>347</v>
      </c>
      <c r="E1" s="777"/>
      <c r="F1" s="777"/>
      <c r="G1" s="777"/>
      <c r="H1" s="777"/>
      <c r="I1" s="777"/>
      <c r="J1" s="191" t="s">
        <v>348</v>
      </c>
      <c r="K1" s="322"/>
      <c r="L1" s="322"/>
    </row>
    <row r="2" spans="1:12" ht="18.75" customHeight="1">
      <c r="A2" s="775" t="s">
        <v>306</v>
      </c>
      <c r="B2" s="775"/>
      <c r="C2" s="775"/>
      <c r="D2" s="859" t="s">
        <v>232</v>
      </c>
      <c r="E2" s="859"/>
      <c r="F2" s="859"/>
      <c r="G2" s="859"/>
      <c r="H2" s="859"/>
      <c r="I2" s="859"/>
      <c r="J2" s="774" t="s">
        <v>349</v>
      </c>
      <c r="K2" s="774"/>
      <c r="L2" s="774"/>
    </row>
    <row r="3" spans="1:12" ht="17.25">
      <c r="A3" s="775" t="s">
        <v>258</v>
      </c>
      <c r="B3" s="775"/>
      <c r="C3" s="775"/>
      <c r="D3" s="860" t="s">
        <v>350</v>
      </c>
      <c r="E3" s="861"/>
      <c r="F3" s="861"/>
      <c r="G3" s="861"/>
      <c r="H3" s="861"/>
      <c r="I3" s="861"/>
      <c r="J3" s="194" t="s">
        <v>366</v>
      </c>
      <c r="K3" s="194"/>
      <c r="L3" s="194"/>
    </row>
    <row r="4" spans="1:12" ht="15.75">
      <c r="A4" s="863" t="s">
        <v>351</v>
      </c>
      <c r="B4" s="863"/>
      <c r="C4" s="863"/>
      <c r="D4" s="864"/>
      <c r="E4" s="864"/>
      <c r="F4" s="864"/>
      <c r="G4" s="864"/>
      <c r="H4" s="864"/>
      <c r="I4" s="864"/>
      <c r="J4" s="761" t="s">
        <v>308</v>
      </c>
      <c r="K4" s="761"/>
      <c r="L4" s="761"/>
    </row>
    <row r="5" spans="1:13" ht="15.75">
      <c r="A5" s="324"/>
      <c r="B5" s="324"/>
      <c r="C5" s="325"/>
      <c r="D5" s="325"/>
      <c r="E5" s="193"/>
      <c r="J5" s="326" t="s">
        <v>352</v>
      </c>
      <c r="K5" s="241"/>
      <c r="L5" s="241"/>
      <c r="M5" s="241"/>
    </row>
    <row r="6" spans="1:13" s="329" customFormat="1" ht="24.75" customHeight="1">
      <c r="A6" s="867" t="s">
        <v>57</v>
      </c>
      <c r="B6" s="868"/>
      <c r="C6" s="862" t="s">
        <v>353</v>
      </c>
      <c r="D6" s="862"/>
      <c r="E6" s="862"/>
      <c r="F6" s="862"/>
      <c r="G6" s="862"/>
      <c r="H6" s="862"/>
      <c r="I6" s="862" t="s">
        <v>233</v>
      </c>
      <c r="J6" s="862"/>
      <c r="K6" s="862"/>
      <c r="L6" s="862"/>
      <c r="M6" s="328"/>
    </row>
    <row r="7" spans="1:13" s="329" customFormat="1" ht="17.25" customHeight="1">
      <c r="A7" s="869"/>
      <c r="B7" s="870"/>
      <c r="C7" s="862" t="s">
        <v>31</v>
      </c>
      <c r="D7" s="862"/>
      <c r="E7" s="862" t="s">
        <v>7</v>
      </c>
      <c r="F7" s="862"/>
      <c r="G7" s="862"/>
      <c r="H7" s="862"/>
      <c r="I7" s="862" t="s">
        <v>234</v>
      </c>
      <c r="J7" s="862"/>
      <c r="K7" s="862" t="s">
        <v>235</v>
      </c>
      <c r="L7" s="862"/>
      <c r="M7" s="328"/>
    </row>
    <row r="8" spans="1:12" s="329" customFormat="1" ht="27.75" customHeight="1">
      <c r="A8" s="869"/>
      <c r="B8" s="870"/>
      <c r="C8" s="862"/>
      <c r="D8" s="862"/>
      <c r="E8" s="862" t="s">
        <v>236</v>
      </c>
      <c r="F8" s="862"/>
      <c r="G8" s="862" t="s">
        <v>237</v>
      </c>
      <c r="H8" s="862"/>
      <c r="I8" s="862"/>
      <c r="J8" s="862"/>
      <c r="K8" s="862"/>
      <c r="L8" s="862"/>
    </row>
    <row r="9" spans="1:12" s="329" customFormat="1" ht="24.75" customHeight="1">
      <c r="A9" s="871"/>
      <c r="B9" s="872"/>
      <c r="C9" s="327" t="s">
        <v>238</v>
      </c>
      <c r="D9" s="327" t="s">
        <v>9</v>
      </c>
      <c r="E9" s="327" t="s">
        <v>3</v>
      </c>
      <c r="F9" s="327" t="s">
        <v>239</v>
      </c>
      <c r="G9" s="327" t="s">
        <v>3</v>
      </c>
      <c r="H9" s="327" t="s">
        <v>239</v>
      </c>
      <c r="I9" s="327" t="s">
        <v>3</v>
      </c>
      <c r="J9" s="327" t="s">
        <v>239</v>
      </c>
      <c r="K9" s="327" t="s">
        <v>3</v>
      </c>
      <c r="L9" s="327" t="s">
        <v>239</v>
      </c>
    </row>
    <row r="10" spans="1:12" s="331" customFormat="1" ht="15.75">
      <c r="A10" s="795" t="s">
        <v>6</v>
      </c>
      <c r="B10" s="796"/>
      <c r="C10" s="330">
        <v>1</v>
      </c>
      <c r="D10" s="330">
        <v>2</v>
      </c>
      <c r="E10" s="330">
        <v>3</v>
      </c>
      <c r="F10" s="330">
        <v>4</v>
      </c>
      <c r="G10" s="330">
        <v>5</v>
      </c>
      <c r="H10" s="330">
        <v>6</v>
      </c>
      <c r="I10" s="330">
        <v>7</v>
      </c>
      <c r="J10" s="330">
        <v>8</v>
      </c>
      <c r="K10" s="330">
        <v>9</v>
      </c>
      <c r="L10" s="330">
        <v>10</v>
      </c>
    </row>
    <row r="11" spans="1:12" s="331" customFormat="1" ht="30.75" customHeight="1">
      <c r="A11" s="785" t="s">
        <v>303</v>
      </c>
      <c r="B11" s="786"/>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8" t="s">
        <v>304</v>
      </c>
      <c r="B12" s="789"/>
      <c r="C12" s="249">
        <v>0</v>
      </c>
      <c r="D12" s="249">
        <v>0</v>
      </c>
      <c r="E12" s="249">
        <v>0</v>
      </c>
      <c r="F12" s="249">
        <v>0</v>
      </c>
      <c r="G12" s="249">
        <v>0</v>
      </c>
      <c r="H12" s="249">
        <v>0</v>
      </c>
      <c r="I12" s="249">
        <v>0</v>
      </c>
      <c r="J12" s="249">
        <v>0</v>
      </c>
      <c r="K12" s="249">
        <v>0</v>
      </c>
      <c r="L12" s="249">
        <v>0</v>
      </c>
    </row>
    <row r="13" spans="1:32" s="331" customFormat="1" ht="17.25" customHeight="1">
      <c r="A13" s="791" t="s">
        <v>30</v>
      </c>
      <c r="B13" s="77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3" t="s">
        <v>291</v>
      </c>
      <c r="C28" s="783"/>
      <c r="D28" s="783"/>
      <c r="E28" s="204"/>
      <c r="F28" s="258"/>
      <c r="G28" s="258"/>
      <c r="H28" s="782" t="s">
        <v>291</v>
      </c>
      <c r="I28" s="782"/>
      <c r="J28" s="782"/>
      <c r="K28" s="782"/>
      <c r="L28" s="782"/>
      <c r="AG28" s="192" t="s">
        <v>292</v>
      </c>
      <c r="AI28" s="190">
        <f>82/88</f>
        <v>0.9318181818181818</v>
      </c>
    </row>
    <row r="29" spans="1:12" s="192" customFormat="1" ht="19.5" customHeight="1">
      <c r="A29" s="202"/>
      <c r="B29" s="784" t="s">
        <v>240</v>
      </c>
      <c r="C29" s="784"/>
      <c r="D29" s="784"/>
      <c r="E29" s="204"/>
      <c r="F29" s="205"/>
      <c r="G29" s="205"/>
      <c r="H29" s="787" t="s">
        <v>158</v>
      </c>
      <c r="I29" s="787"/>
      <c r="J29" s="787"/>
      <c r="K29" s="787"/>
      <c r="L29" s="787"/>
    </row>
    <row r="30" spans="1:12" s="196" customFormat="1" ht="15" customHeight="1">
      <c r="A30" s="202"/>
      <c r="B30" s="866"/>
      <c r="C30" s="866"/>
      <c r="D30" s="866"/>
      <c r="E30" s="204"/>
      <c r="F30" s="205"/>
      <c r="G30" s="205"/>
      <c r="H30" s="739"/>
      <c r="I30" s="739"/>
      <c r="J30" s="739"/>
      <c r="K30" s="739"/>
      <c r="L30" s="73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3" t="s">
        <v>295</v>
      </c>
      <c r="C33" s="873"/>
      <c r="D33" s="873"/>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65" t="s">
        <v>241</v>
      </c>
      <c r="C37" s="865"/>
      <c r="D37" s="865"/>
      <c r="E37" s="865"/>
      <c r="F37" s="865"/>
      <c r="G37" s="865"/>
      <c r="H37" s="865"/>
      <c r="I37" s="865"/>
      <c r="J37" s="865"/>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36" t="s">
        <v>337</v>
      </c>
      <c r="C41" s="636"/>
      <c r="D41" s="636"/>
      <c r="E41" s="210"/>
      <c r="F41" s="210"/>
      <c r="G41" s="182"/>
      <c r="H41" s="637" t="s">
        <v>249</v>
      </c>
      <c r="I41" s="637"/>
      <c r="J41" s="637"/>
      <c r="K41" s="637"/>
      <c r="L41" s="637"/>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4" t="s">
        <v>379</v>
      </c>
      <c r="M1" s="875"/>
      <c r="N1" s="875"/>
      <c r="O1" s="365"/>
      <c r="P1" s="365"/>
      <c r="Q1" s="365"/>
      <c r="R1" s="365"/>
      <c r="S1" s="365"/>
      <c r="T1" s="365"/>
      <c r="U1" s="365"/>
      <c r="V1" s="365"/>
      <c r="W1" s="365"/>
      <c r="X1" s="365"/>
      <c r="Y1" s="366"/>
    </row>
    <row r="2" spans="11:17" ht="34.5" customHeight="1">
      <c r="K2" s="349"/>
      <c r="L2" s="876" t="s">
        <v>386</v>
      </c>
      <c r="M2" s="877"/>
      <c r="N2" s="878"/>
      <c r="O2" s="29"/>
      <c r="P2" s="351"/>
      <c r="Q2" s="347"/>
    </row>
    <row r="3" spans="11:18" ht="31.5" customHeight="1">
      <c r="K3" s="349"/>
      <c r="L3" s="354" t="s">
        <v>395</v>
      </c>
      <c r="M3" s="355">
        <f>'06'!C11</f>
        <v>8434</v>
      </c>
      <c r="N3" s="355"/>
      <c r="O3" s="355"/>
      <c r="P3" s="352"/>
      <c r="Q3" s="348"/>
      <c r="R3" s="345"/>
    </row>
    <row r="4" spans="11:18" ht="30" customHeight="1">
      <c r="K4" s="349"/>
      <c r="L4" s="356" t="s">
        <v>380</v>
      </c>
      <c r="M4" s="357">
        <f>'06'!D11</f>
        <v>5330</v>
      </c>
      <c r="N4" s="355"/>
      <c r="O4" s="355"/>
      <c r="P4" s="352"/>
      <c r="Q4" s="348"/>
      <c r="R4" s="345"/>
    </row>
    <row r="5" spans="11:18" ht="31.5" customHeight="1">
      <c r="K5" s="349"/>
      <c r="L5" s="356" t="s">
        <v>381</v>
      </c>
      <c r="M5" s="357">
        <f>'06'!E11</f>
        <v>3104</v>
      </c>
      <c r="N5" s="355"/>
      <c r="O5" s="355"/>
      <c r="P5" s="352"/>
      <c r="Q5" s="348"/>
      <c r="R5" s="345"/>
    </row>
    <row r="6" spans="11:18" ht="27" customHeight="1">
      <c r="K6" s="349"/>
      <c r="L6" s="354" t="s">
        <v>382</v>
      </c>
      <c r="M6" s="355">
        <f>'06'!F11</f>
        <v>32</v>
      </c>
      <c r="N6" s="355"/>
      <c r="O6" s="355"/>
      <c r="P6" s="352"/>
      <c r="Q6" s="348"/>
      <c r="R6" s="345"/>
    </row>
    <row r="7" spans="11:18" s="342" customFormat="1" ht="30" customHeight="1">
      <c r="K7" s="350"/>
      <c r="L7" s="358" t="s">
        <v>398</v>
      </c>
      <c r="M7" s="355">
        <f>'06'!H11</f>
        <v>8402</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4.642713230355944</v>
      </c>
      <c r="N9" s="355"/>
      <c r="O9" s="355"/>
      <c r="P9" s="352"/>
      <c r="Q9" s="348"/>
      <c r="R9" s="345"/>
    </row>
    <row r="10" spans="11:18" ht="33" customHeight="1">
      <c r="K10" s="349"/>
      <c r="L10" s="354" t="s">
        <v>399</v>
      </c>
      <c r="M10" s="355">
        <f>'06'!I11</f>
        <v>5922</v>
      </c>
      <c r="N10" s="355" t="s">
        <v>383</v>
      </c>
      <c r="O10" s="361">
        <f>M10/M7</f>
        <v>0.7048321828136158</v>
      </c>
      <c r="P10" s="352"/>
      <c r="Q10" s="348"/>
      <c r="R10" s="345"/>
    </row>
    <row r="11" spans="11:18" ht="22.5" customHeight="1">
      <c r="K11" s="349"/>
      <c r="L11" s="354" t="s">
        <v>401</v>
      </c>
      <c r="M11" s="355">
        <f>'06'!Q11</f>
        <v>2480</v>
      </c>
      <c r="N11" s="355" t="s">
        <v>383</v>
      </c>
      <c r="O11" s="361">
        <f>M11/M7</f>
        <v>0.2951678171863842</v>
      </c>
      <c r="P11" s="352"/>
      <c r="Q11" s="348"/>
      <c r="R11" s="345"/>
    </row>
    <row r="12" spans="11:18" ht="34.5" customHeight="1">
      <c r="K12" s="349"/>
      <c r="L12" s="354" t="s">
        <v>402</v>
      </c>
      <c r="M12" s="355">
        <f>'06'!J11+'06'!K11</f>
        <v>2006</v>
      </c>
      <c r="N12" s="354"/>
      <c r="O12" s="354"/>
      <c r="P12" s="346"/>
      <c r="R12" s="346"/>
    </row>
    <row r="13" spans="11:18" ht="33.75" customHeight="1">
      <c r="K13" s="349"/>
      <c r="L13" s="354" t="s">
        <v>403</v>
      </c>
      <c r="M13" s="361">
        <f>M12/M7</f>
        <v>0.2387526779338253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-0.26426948459135946</v>
      </c>
      <c r="N18" s="355"/>
      <c r="O18" s="355"/>
      <c r="P18" s="352"/>
      <c r="R18" s="346"/>
    </row>
    <row r="19" spans="11:18" ht="24.75" customHeight="1">
      <c r="K19" s="349"/>
      <c r="L19" s="354" t="s">
        <v>406</v>
      </c>
      <c r="M19" s="355">
        <f>'06'!J11</f>
        <v>1902</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0.3211752786220871</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-0.35148659188151005</v>
      </c>
      <c r="N30" s="355"/>
      <c r="O30" s="355"/>
      <c r="P30" s="352"/>
      <c r="R30" s="346"/>
    </row>
    <row r="31" spans="11:18" ht="24.75" customHeight="1">
      <c r="K31" s="349"/>
      <c r="L31" s="354" t="s">
        <v>410</v>
      </c>
      <c r="M31" s="355">
        <f>'06'!R11</f>
        <v>6396</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5677</v>
      </c>
      <c r="N33" s="369" t="s">
        <v>385</v>
      </c>
      <c r="O33" s="368">
        <f>(M31-M32)/M32</f>
        <v>7.895688456189151</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2306764004</v>
      </c>
      <c r="N42" s="355"/>
      <c r="O42" s="355"/>
      <c r="P42" s="346"/>
      <c r="R42" s="346"/>
    </row>
    <row r="43" spans="11:18" ht="24.75" customHeight="1">
      <c r="K43" s="349"/>
      <c r="L43" s="363" t="s">
        <v>100</v>
      </c>
      <c r="M43" s="355">
        <f>'07'!D11</f>
        <v>2114010179</v>
      </c>
      <c r="N43" s="355"/>
      <c r="O43" s="355"/>
      <c r="P43" s="346"/>
      <c r="R43" s="346"/>
    </row>
    <row r="44" spans="11:18" ht="24.75" customHeight="1">
      <c r="K44" s="349"/>
      <c r="L44" s="363" t="s">
        <v>381</v>
      </c>
      <c r="M44" s="355">
        <f>'07'!E11</f>
        <v>192753825</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4811549</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2301952455</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2247724632.558</v>
      </c>
      <c r="N52" s="355"/>
      <c r="O52" s="355"/>
      <c r="P52" s="346"/>
      <c r="R52" s="346"/>
    </row>
    <row r="53" spans="11:18" ht="24.75" customHeight="1">
      <c r="K53" s="349"/>
      <c r="L53" s="377" t="s">
        <v>389</v>
      </c>
      <c r="M53" s="368">
        <f>(M52/M51)</f>
        <v>41.449656861329444</v>
      </c>
      <c r="N53" s="355"/>
      <c r="O53" s="355"/>
      <c r="P53" s="346"/>
      <c r="R53" s="346"/>
    </row>
    <row r="54" spans="11:18" ht="24.75" customHeight="1">
      <c r="K54" s="349"/>
      <c r="L54" s="363" t="s">
        <v>417</v>
      </c>
      <c r="M54" s="355">
        <f>'07'!I11</f>
        <v>864261643</v>
      </c>
      <c r="N54" s="355" t="s">
        <v>390</v>
      </c>
      <c r="O54" s="361">
        <f>'07'!I11/'07'!H11</f>
        <v>0.3754472170451496</v>
      </c>
      <c r="P54" s="346"/>
      <c r="R54" s="346"/>
    </row>
    <row r="55" spans="11:18" ht="24.75" customHeight="1">
      <c r="K55" s="349"/>
      <c r="L55" s="363" t="s">
        <v>418</v>
      </c>
      <c r="M55" s="355">
        <f>'07'!R11</f>
        <v>1437690812</v>
      </c>
      <c r="N55" s="355" t="s">
        <v>390</v>
      </c>
      <c r="O55" s="361">
        <f>'07'!R11/'07'!H11</f>
        <v>0.6245527829548504</v>
      </c>
      <c r="P55" s="346"/>
      <c r="R55" s="346"/>
    </row>
    <row r="56" spans="11:18" ht="24.75" customHeight="1">
      <c r="K56" s="349"/>
      <c r="L56" s="363" t="s">
        <v>419</v>
      </c>
      <c r="M56" s="355">
        <f>'07'!J11+'07'!K11+'07'!L11</f>
        <v>151382603</v>
      </c>
      <c r="N56" s="355" t="s">
        <v>390</v>
      </c>
      <c r="O56" s="361">
        <f>M56/'07'!H11</f>
        <v>0.065762697518442</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0.02486622777042667</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91045420</v>
      </c>
      <c r="N63" s="355" t="s">
        <v>391</v>
      </c>
      <c r="O63" s="361">
        <f>'07'!J11/'07'!I11</f>
        <v>0.10534474222871418</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0.09110124090890052</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2150569852</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2102443041.638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43.685484781223906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D4" sqref="D4"/>
    </sheetView>
  </sheetViews>
  <sheetFormatPr defaultColWidth="9.00390625" defaultRowHeight="15.75"/>
  <cols>
    <col min="1" max="1" width="23.50390625" style="0" customWidth="1"/>
    <col min="2" max="2" width="66.125" style="0" customWidth="1"/>
  </cols>
  <sheetData>
    <row r="2" spans="1:2" ht="62.25" customHeight="1">
      <c r="A2" s="879" t="s">
        <v>440</v>
      </c>
      <c r="B2" s="879"/>
    </row>
    <row r="3" spans="1:2" ht="22.5" customHeight="1">
      <c r="A3" s="408" t="s">
        <v>428</v>
      </c>
      <c r="B3" s="456" t="s">
        <v>585</v>
      </c>
    </row>
    <row r="4" spans="1:2" ht="22.5" customHeight="1">
      <c r="A4" s="408" t="s">
        <v>427</v>
      </c>
      <c r="B4" s="409" t="s">
        <v>442</v>
      </c>
    </row>
    <row r="5" spans="1:2" ht="22.5" customHeight="1">
      <c r="A5" s="408" t="s">
        <v>429</v>
      </c>
      <c r="B5" s="426" t="s">
        <v>443</v>
      </c>
    </row>
    <row r="6" spans="1:2" ht="22.5" customHeight="1">
      <c r="A6" s="408" t="s">
        <v>430</v>
      </c>
      <c r="B6" s="426" t="s">
        <v>444</v>
      </c>
    </row>
    <row r="7" spans="1:2" ht="22.5" customHeight="1">
      <c r="A7" s="408" t="s">
        <v>431</v>
      </c>
      <c r="B7" s="426" t="s">
        <v>396</v>
      </c>
    </row>
    <row r="8" spans="1:2" ht="15.75">
      <c r="A8" s="410" t="s">
        <v>432</v>
      </c>
      <c r="B8" s="427" t="s">
        <v>584</v>
      </c>
    </row>
    <row r="10" spans="1:2" ht="62.25" customHeight="1">
      <c r="A10" s="880" t="s">
        <v>441</v>
      </c>
      <c r="B10" s="880"/>
    </row>
    <row r="11" spans="1:2" ht="15.75">
      <c r="A11" s="881" t="s">
        <v>439</v>
      </c>
      <c r="B11" s="88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07"/>
  <sheetViews>
    <sheetView showZeros="0" zoomScale="105" zoomScaleNormal="105" zoomScaleSheetLayoutView="100" workbookViewId="0" topLeftCell="A5">
      <selection activeCell="H15" sqref="H15"/>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99" t="s">
        <v>66</v>
      </c>
      <c r="F1" s="899"/>
      <c r="G1" s="899"/>
      <c r="H1" s="899"/>
      <c r="I1" s="899"/>
      <c r="J1" s="899"/>
      <c r="K1" s="899"/>
      <c r="L1" s="899"/>
      <c r="M1" s="899"/>
      <c r="N1" s="899"/>
      <c r="O1" s="899"/>
      <c r="P1" s="379" t="s">
        <v>433</v>
      </c>
      <c r="Q1" s="379"/>
      <c r="R1" s="379"/>
      <c r="S1" s="379"/>
    </row>
    <row r="2" spans="1:19" ht="17.25" customHeight="1">
      <c r="A2" s="903" t="s">
        <v>245</v>
      </c>
      <c r="B2" s="903"/>
      <c r="C2" s="903"/>
      <c r="D2" s="903"/>
      <c r="E2" s="900" t="s">
        <v>34</v>
      </c>
      <c r="F2" s="900"/>
      <c r="G2" s="900"/>
      <c r="H2" s="900"/>
      <c r="I2" s="900"/>
      <c r="J2" s="900"/>
      <c r="K2" s="900"/>
      <c r="L2" s="900"/>
      <c r="M2" s="900"/>
      <c r="N2" s="900"/>
      <c r="O2" s="900"/>
      <c r="P2" s="904" t="str">
        <f>'Thong tin'!B4</f>
        <v>Cục Thi hành án dân sự tỉnh Lâm Đồng </v>
      </c>
      <c r="Q2" s="904"/>
      <c r="R2" s="904"/>
      <c r="S2" s="904"/>
    </row>
    <row r="3" spans="1:19" ht="19.5" customHeight="1">
      <c r="A3" s="903" t="s">
        <v>246</v>
      </c>
      <c r="B3" s="903"/>
      <c r="C3" s="903"/>
      <c r="D3" s="903"/>
      <c r="E3" s="901" t="str">
        <f>'Thong tin'!B3</f>
        <v>04 tháng / năm 2017</v>
      </c>
      <c r="F3" s="901"/>
      <c r="G3" s="901"/>
      <c r="H3" s="901"/>
      <c r="I3" s="901"/>
      <c r="J3" s="901"/>
      <c r="K3" s="901"/>
      <c r="L3" s="901"/>
      <c r="M3" s="901"/>
      <c r="N3" s="901"/>
      <c r="O3" s="901"/>
      <c r="P3" s="379" t="s">
        <v>434</v>
      </c>
      <c r="Q3" s="388"/>
      <c r="R3" s="379"/>
      <c r="S3" s="379"/>
    </row>
    <row r="4" spans="1:19" ht="14.25" customHeight="1">
      <c r="A4" s="382" t="s">
        <v>124</v>
      </c>
      <c r="B4" s="388"/>
      <c r="C4" s="388"/>
      <c r="D4" s="388"/>
      <c r="E4" s="388"/>
      <c r="F4" s="388"/>
      <c r="G4" s="388"/>
      <c r="H4" s="388"/>
      <c r="I4" s="388"/>
      <c r="J4" s="388"/>
      <c r="K4" s="388"/>
      <c r="L4" s="388"/>
      <c r="M4" s="388"/>
      <c r="N4" s="392"/>
      <c r="O4" s="392"/>
      <c r="P4" s="892" t="s">
        <v>308</v>
      </c>
      <c r="Q4" s="892"/>
      <c r="R4" s="892"/>
      <c r="S4" s="892"/>
    </row>
    <row r="5" spans="2:19" ht="21.75" customHeight="1">
      <c r="B5" s="386"/>
      <c r="C5" s="386"/>
      <c r="Q5" s="393" t="s">
        <v>244</v>
      </c>
      <c r="R5" s="394"/>
      <c r="S5" s="394"/>
    </row>
    <row r="6" spans="1:19" ht="19.5" customHeight="1">
      <c r="A6" s="893" t="s">
        <v>57</v>
      </c>
      <c r="B6" s="893"/>
      <c r="C6" s="889" t="s">
        <v>125</v>
      </c>
      <c r="D6" s="889"/>
      <c r="E6" s="889"/>
      <c r="F6" s="894" t="s">
        <v>101</v>
      </c>
      <c r="G6" s="894" t="s">
        <v>126</v>
      </c>
      <c r="H6" s="902" t="s">
        <v>102</v>
      </c>
      <c r="I6" s="902"/>
      <c r="J6" s="902"/>
      <c r="K6" s="902"/>
      <c r="L6" s="902"/>
      <c r="M6" s="902"/>
      <c r="N6" s="902"/>
      <c r="O6" s="902"/>
      <c r="P6" s="902"/>
      <c r="Q6" s="902"/>
      <c r="R6" s="889" t="s">
        <v>250</v>
      </c>
      <c r="S6" s="889" t="s">
        <v>436</v>
      </c>
    </row>
    <row r="7" spans="1:19" s="379" customFormat="1" ht="27" customHeight="1">
      <c r="A7" s="893"/>
      <c r="B7" s="893"/>
      <c r="C7" s="889" t="s">
        <v>42</v>
      </c>
      <c r="D7" s="883" t="s">
        <v>7</v>
      </c>
      <c r="E7" s="883"/>
      <c r="F7" s="894"/>
      <c r="G7" s="894"/>
      <c r="H7" s="894" t="s">
        <v>102</v>
      </c>
      <c r="I7" s="889" t="s">
        <v>103</v>
      </c>
      <c r="J7" s="889"/>
      <c r="K7" s="889"/>
      <c r="L7" s="889"/>
      <c r="M7" s="889"/>
      <c r="N7" s="889"/>
      <c r="O7" s="889"/>
      <c r="P7" s="889"/>
      <c r="Q7" s="894" t="s">
        <v>112</v>
      </c>
      <c r="R7" s="889"/>
      <c r="S7" s="889"/>
    </row>
    <row r="8" spans="1:19" ht="21.75" customHeight="1">
      <c r="A8" s="893"/>
      <c r="B8" s="893"/>
      <c r="C8" s="889"/>
      <c r="D8" s="883" t="s">
        <v>128</v>
      </c>
      <c r="E8" s="883" t="s">
        <v>129</v>
      </c>
      <c r="F8" s="894"/>
      <c r="G8" s="894"/>
      <c r="H8" s="894"/>
      <c r="I8" s="894" t="s">
        <v>435</v>
      </c>
      <c r="J8" s="883" t="s">
        <v>7</v>
      </c>
      <c r="K8" s="883"/>
      <c r="L8" s="883"/>
      <c r="M8" s="883"/>
      <c r="N8" s="883"/>
      <c r="O8" s="883"/>
      <c r="P8" s="883"/>
      <c r="Q8" s="894"/>
      <c r="R8" s="889"/>
      <c r="S8" s="889"/>
    </row>
    <row r="9" spans="1:19" ht="84" customHeight="1">
      <c r="A9" s="893"/>
      <c r="B9" s="893"/>
      <c r="C9" s="889"/>
      <c r="D9" s="883"/>
      <c r="E9" s="883"/>
      <c r="F9" s="894"/>
      <c r="G9" s="894"/>
      <c r="H9" s="894"/>
      <c r="I9" s="894"/>
      <c r="J9" s="395" t="s">
        <v>130</v>
      </c>
      <c r="K9" s="395" t="s">
        <v>131</v>
      </c>
      <c r="L9" s="396" t="s">
        <v>105</v>
      </c>
      <c r="M9" s="396" t="s">
        <v>132</v>
      </c>
      <c r="N9" s="396" t="s">
        <v>108</v>
      </c>
      <c r="O9" s="396" t="s">
        <v>251</v>
      </c>
      <c r="P9" s="396" t="s">
        <v>111</v>
      </c>
      <c r="Q9" s="894"/>
      <c r="R9" s="889"/>
      <c r="S9" s="889"/>
    </row>
    <row r="10" spans="1:19" ht="22.5" customHeight="1">
      <c r="A10" s="884" t="s">
        <v>6</v>
      </c>
      <c r="B10" s="885"/>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8">
        <v>17</v>
      </c>
    </row>
    <row r="11" spans="1:19" ht="25.5" customHeight="1">
      <c r="A11" s="887" t="s">
        <v>30</v>
      </c>
      <c r="B11" s="888"/>
      <c r="C11" s="457">
        <f aca="true" t="shared" si="0" ref="C11:K11">C13+C28</f>
        <v>8434</v>
      </c>
      <c r="D11" s="457">
        <f t="shared" si="0"/>
        <v>5330</v>
      </c>
      <c r="E11" s="457">
        <f t="shared" si="0"/>
        <v>3104</v>
      </c>
      <c r="F11" s="457">
        <f t="shared" si="0"/>
        <v>32</v>
      </c>
      <c r="G11" s="457">
        <f t="shared" si="0"/>
        <v>0</v>
      </c>
      <c r="H11" s="457">
        <f t="shared" si="0"/>
        <v>8402</v>
      </c>
      <c r="I11" s="457">
        <f t="shared" si="0"/>
        <v>5922</v>
      </c>
      <c r="J11" s="457">
        <f t="shared" si="0"/>
        <v>1902</v>
      </c>
      <c r="K11" s="457">
        <f t="shared" si="0"/>
        <v>104</v>
      </c>
      <c r="L11" s="457">
        <f>I11-J11-K11-M11-N11-O11-P11</f>
        <v>3824</v>
      </c>
      <c r="M11" s="457">
        <f aca="true" t="shared" si="1" ref="M11:R11">M13+M28</f>
        <v>50</v>
      </c>
      <c r="N11" s="457">
        <f t="shared" si="1"/>
        <v>11</v>
      </c>
      <c r="O11" s="457">
        <f t="shared" si="1"/>
        <v>4</v>
      </c>
      <c r="P11" s="457">
        <f t="shared" si="1"/>
        <v>27</v>
      </c>
      <c r="Q11" s="457">
        <f t="shared" si="1"/>
        <v>2480</v>
      </c>
      <c r="R11" s="457">
        <f t="shared" si="1"/>
        <v>6396</v>
      </c>
      <c r="S11" s="454">
        <f>(J11+K11)/I11</f>
        <v>0.3387369132049983</v>
      </c>
    </row>
    <row r="12" spans="1:19" ht="25.5" customHeight="1">
      <c r="A12" s="451"/>
      <c r="B12" s="453"/>
      <c r="C12" s="458">
        <f aca="true" t="shared" si="2" ref="C12:C97">D12+E12</f>
        <v>0</v>
      </c>
      <c r="D12" s="457"/>
      <c r="E12" s="457"/>
      <c r="F12" s="457"/>
      <c r="G12" s="457"/>
      <c r="H12" s="458">
        <f>C12-F12</f>
        <v>0</v>
      </c>
      <c r="I12" s="458">
        <f>H12-Q12</f>
        <v>0</v>
      </c>
      <c r="J12" s="457"/>
      <c r="K12" s="457"/>
      <c r="L12" s="466">
        <f>I12-J12-K12-M12-N12-O12-P12</f>
        <v>0</v>
      </c>
      <c r="M12" s="457"/>
      <c r="N12" s="457"/>
      <c r="O12" s="457"/>
      <c r="P12" s="457"/>
      <c r="Q12" s="457"/>
      <c r="R12" s="458">
        <f>H12-J12-K12</f>
        <v>0</v>
      </c>
      <c r="S12" s="454"/>
    </row>
    <row r="13" spans="1:19" ht="25.5" customHeight="1">
      <c r="A13" s="428" t="s">
        <v>0</v>
      </c>
      <c r="B13" s="429" t="s">
        <v>446</v>
      </c>
      <c r="C13" s="458">
        <f>C14+C15+C16+C17+C18+C19+C20+C21+C22+C23+C24+C25+C26+C27</f>
        <v>133</v>
      </c>
      <c r="D13" s="458">
        <f aca="true" t="shared" si="3" ref="D13:R13">D14+D15+D16+D17+D18+D19+D20+D21+D22+D23+D24+D25+D26+D27</f>
        <v>74</v>
      </c>
      <c r="E13" s="458">
        <f t="shared" si="3"/>
        <v>59</v>
      </c>
      <c r="F13" s="458">
        <f t="shared" si="3"/>
        <v>1</v>
      </c>
      <c r="G13" s="458">
        <f t="shared" si="3"/>
        <v>0</v>
      </c>
      <c r="H13" s="458">
        <f t="shared" si="3"/>
        <v>132</v>
      </c>
      <c r="I13" s="458">
        <f t="shared" si="3"/>
        <v>99</v>
      </c>
      <c r="J13" s="458">
        <f t="shared" si="3"/>
        <v>16</v>
      </c>
      <c r="K13" s="458">
        <f t="shared" si="3"/>
        <v>0</v>
      </c>
      <c r="L13" s="458">
        <f t="shared" si="3"/>
        <v>77</v>
      </c>
      <c r="M13" s="458">
        <f t="shared" si="3"/>
        <v>1</v>
      </c>
      <c r="N13" s="458">
        <f t="shared" si="3"/>
        <v>0</v>
      </c>
      <c r="O13" s="458">
        <f t="shared" si="3"/>
        <v>0</v>
      </c>
      <c r="P13" s="458">
        <f t="shared" si="3"/>
        <v>3</v>
      </c>
      <c r="Q13" s="458">
        <f t="shared" si="3"/>
        <v>33</v>
      </c>
      <c r="R13" s="458">
        <f t="shared" si="3"/>
        <v>116</v>
      </c>
      <c r="S13" s="454">
        <f aca="true" t="shared" si="4" ref="S13:S77">(J13+K13)/I13</f>
        <v>0.16161616161616163</v>
      </c>
    </row>
    <row r="14" spans="1:19" ht="25.5" customHeight="1">
      <c r="A14" s="430" t="s">
        <v>43</v>
      </c>
      <c r="B14" s="431" t="s">
        <v>444</v>
      </c>
      <c r="C14" s="459">
        <f t="shared" si="2"/>
        <v>3</v>
      </c>
      <c r="D14" s="486"/>
      <c r="E14" s="486">
        <v>3</v>
      </c>
      <c r="F14" s="486"/>
      <c r="G14" s="486"/>
      <c r="H14" s="468">
        <f>C14-F14</f>
        <v>3</v>
      </c>
      <c r="I14" s="468">
        <f>H14-Q14</f>
        <v>3</v>
      </c>
      <c r="J14" s="486">
        <v>1</v>
      </c>
      <c r="K14" s="486"/>
      <c r="L14" s="478">
        <f>I14-J14-K14-M14-N14-O14-P14</f>
        <v>2</v>
      </c>
      <c r="M14" s="486"/>
      <c r="N14" s="486"/>
      <c r="O14" s="486"/>
      <c r="P14" s="486"/>
      <c r="Q14" s="478"/>
      <c r="R14" s="459">
        <f>H14-J14-K14</f>
        <v>2</v>
      </c>
      <c r="S14" s="479">
        <f t="shared" si="4"/>
        <v>0.3333333333333333</v>
      </c>
    </row>
    <row r="15" spans="1:19" ht="25.5" customHeight="1">
      <c r="A15" s="430" t="s">
        <v>44</v>
      </c>
      <c r="B15" s="431" t="s">
        <v>447</v>
      </c>
      <c r="C15" s="459">
        <f t="shared" si="2"/>
        <v>8</v>
      </c>
      <c r="D15" s="486">
        <v>2</v>
      </c>
      <c r="E15" s="486">
        <v>6</v>
      </c>
      <c r="F15" s="486"/>
      <c r="G15" s="486"/>
      <c r="H15" s="468">
        <f aca="true" t="shared" si="5" ref="H15:H79">C15-F15</f>
        <v>8</v>
      </c>
      <c r="I15" s="468">
        <f aca="true" t="shared" si="6" ref="I15:I97">H15-Q15</f>
        <v>7</v>
      </c>
      <c r="J15" s="486"/>
      <c r="K15" s="486"/>
      <c r="L15" s="478">
        <f aca="true" t="shared" si="7" ref="L15:L79">I15-J15-K15-M15-N15-O15-P15</f>
        <v>7</v>
      </c>
      <c r="M15" s="486"/>
      <c r="N15" s="486"/>
      <c r="O15" s="486"/>
      <c r="P15" s="486"/>
      <c r="Q15" s="478">
        <v>1</v>
      </c>
      <c r="R15" s="459">
        <f aca="true" t="shared" si="8" ref="R15:R97">H15-J15-K15</f>
        <v>8</v>
      </c>
      <c r="S15" s="479">
        <f t="shared" si="4"/>
        <v>0</v>
      </c>
    </row>
    <row r="16" spans="1:19" ht="25.5" customHeight="1">
      <c r="A16" s="430" t="s">
        <v>49</v>
      </c>
      <c r="B16" s="431" t="s">
        <v>448</v>
      </c>
      <c r="C16" s="459">
        <f t="shared" si="2"/>
        <v>9</v>
      </c>
      <c r="D16" s="486">
        <v>5</v>
      </c>
      <c r="E16" s="486">
        <v>4</v>
      </c>
      <c r="F16" s="486"/>
      <c r="G16" s="486"/>
      <c r="H16" s="468">
        <f t="shared" si="5"/>
        <v>9</v>
      </c>
      <c r="I16" s="468">
        <f t="shared" si="6"/>
        <v>4</v>
      </c>
      <c r="J16" s="486"/>
      <c r="K16" s="486"/>
      <c r="L16" s="478">
        <f t="shared" si="7"/>
        <v>4</v>
      </c>
      <c r="M16" s="486"/>
      <c r="N16" s="486"/>
      <c r="O16" s="486"/>
      <c r="P16" s="486"/>
      <c r="Q16" s="478">
        <v>5</v>
      </c>
      <c r="R16" s="459">
        <f t="shared" si="8"/>
        <v>9</v>
      </c>
      <c r="S16" s="479">
        <f t="shared" si="4"/>
        <v>0</v>
      </c>
    </row>
    <row r="17" spans="1:19" ht="25.5" customHeight="1">
      <c r="A17" s="430" t="s">
        <v>58</v>
      </c>
      <c r="B17" s="431" t="s">
        <v>560</v>
      </c>
      <c r="C17" s="459">
        <f t="shared" si="2"/>
        <v>3</v>
      </c>
      <c r="D17" s="486">
        <v>1</v>
      </c>
      <c r="E17" s="486">
        <v>2</v>
      </c>
      <c r="F17" s="486"/>
      <c r="G17" s="486"/>
      <c r="H17" s="468">
        <f t="shared" si="5"/>
        <v>3</v>
      </c>
      <c r="I17" s="468">
        <f t="shared" si="6"/>
        <v>3</v>
      </c>
      <c r="J17" s="486">
        <v>2</v>
      </c>
      <c r="K17" s="486"/>
      <c r="L17" s="478">
        <f t="shared" si="7"/>
        <v>1</v>
      </c>
      <c r="M17" s="486"/>
      <c r="N17" s="486"/>
      <c r="O17" s="486"/>
      <c r="P17" s="486"/>
      <c r="Q17" s="478"/>
      <c r="R17" s="459">
        <f t="shared" si="8"/>
        <v>1</v>
      </c>
      <c r="S17" s="479">
        <f t="shared" si="4"/>
        <v>0.6666666666666666</v>
      </c>
    </row>
    <row r="18" spans="1:19" ht="25.5" customHeight="1">
      <c r="A18" s="430" t="s">
        <v>59</v>
      </c>
      <c r="B18" s="431" t="s">
        <v>449</v>
      </c>
      <c r="C18" s="459">
        <f t="shared" si="2"/>
        <v>5</v>
      </c>
      <c r="D18" s="486">
        <v>5</v>
      </c>
      <c r="E18" s="486"/>
      <c r="F18" s="486"/>
      <c r="G18" s="486"/>
      <c r="H18" s="468">
        <f t="shared" si="5"/>
        <v>5</v>
      </c>
      <c r="I18" s="468">
        <f t="shared" si="6"/>
        <v>4</v>
      </c>
      <c r="J18" s="486"/>
      <c r="K18" s="486"/>
      <c r="L18" s="478">
        <f t="shared" si="7"/>
        <v>4</v>
      </c>
      <c r="M18" s="486"/>
      <c r="N18" s="486"/>
      <c r="O18" s="486"/>
      <c r="P18" s="486"/>
      <c r="Q18" s="478">
        <v>1</v>
      </c>
      <c r="R18" s="459">
        <f t="shared" si="8"/>
        <v>5</v>
      </c>
      <c r="S18" s="479">
        <f t="shared" si="4"/>
        <v>0</v>
      </c>
    </row>
    <row r="19" spans="1:19" ht="25.5" customHeight="1">
      <c r="A19" s="430" t="s">
        <v>60</v>
      </c>
      <c r="B19" s="431" t="s">
        <v>450</v>
      </c>
      <c r="C19" s="459">
        <f t="shared" si="2"/>
        <v>6</v>
      </c>
      <c r="D19" s="486"/>
      <c r="E19" s="486">
        <v>6</v>
      </c>
      <c r="F19" s="486"/>
      <c r="G19" s="486"/>
      <c r="H19" s="468">
        <f t="shared" si="5"/>
        <v>6</v>
      </c>
      <c r="I19" s="468">
        <f t="shared" si="6"/>
        <v>6</v>
      </c>
      <c r="J19" s="486"/>
      <c r="K19" s="486"/>
      <c r="L19" s="478">
        <f t="shared" si="7"/>
        <v>6</v>
      </c>
      <c r="M19" s="486"/>
      <c r="N19" s="486"/>
      <c r="O19" s="486"/>
      <c r="P19" s="486"/>
      <c r="Q19" s="478"/>
      <c r="R19" s="459">
        <f t="shared" si="8"/>
        <v>6</v>
      </c>
      <c r="S19" s="479">
        <f t="shared" si="4"/>
        <v>0</v>
      </c>
    </row>
    <row r="20" spans="1:19" ht="25.5" customHeight="1">
      <c r="A20" s="430" t="s">
        <v>61</v>
      </c>
      <c r="B20" s="431" t="s">
        <v>451</v>
      </c>
      <c r="C20" s="459">
        <f t="shared" si="2"/>
        <v>20</v>
      </c>
      <c r="D20" s="486">
        <v>18</v>
      </c>
      <c r="E20" s="486">
        <v>2</v>
      </c>
      <c r="F20" s="486">
        <v>1</v>
      </c>
      <c r="G20" s="486"/>
      <c r="H20" s="468">
        <f t="shared" si="5"/>
        <v>19</v>
      </c>
      <c r="I20" s="468">
        <f t="shared" si="6"/>
        <v>9</v>
      </c>
      <c r="J20" s="486">
        <v>1</v>
      </c>
      <c r="K20" s="486"/>
      <c r="L20" s="478">
        <f t="shared" si="7"/>
        <v>8</v>
      </c>
      <c r="M20" s="486"/>
      <c r="N20" s="486"/>
      <c r="O20" s="486"/>
      <c r="P20" s="486"/>
      <c r="Q20" s="478">
        <v>10</v>
      </c>
      <c r="R20" s="459">
        <f t="shared" si="8"/>
        <v>18</v>
      </c>
      <c r="S20" s="479">
        <f t="shared" si="4"/>
        <v>0.1111111111111111</v>
      </c>
    </row>
    <row r="21" spans="1:19" ht="25.5" customHeight="1">
      <c r="A21" s="430" t="s">
        <v>62</v>
      </c>
      <c r="B21" s="431" t="s">
        <v>452</v>
      </c>
      <c r="C21" s="459">
        <f t="shared" si="2"/>
        <v>20</v>
      </c>
      <c r="D21" s="486">
        <v>10</v>
      </c>
      <c r="E21" s="486">
        <v>10</v>
      </c>
      <c r="F21" s="486"/>
      <c r="G21" s="486"/>
      <c r="H21" s="468">
        <f t="shared" si="5"/>
        <v>20</v>
      </c>
      <c r="I21" s="468">
        <f t="shared" si="6"/>
        <v>19</v>
      </c>
      <c r="J21" s="486"/>
      <c r="K21" s="486"/>
      <c r="L21" s="478">
        <f t="shared" si="7"/>
        <v>19</v>
      </c>
      <c r="M21" s="486"/>
      <c r="N21" s="486"/>
      <c r="O21" s="486"/>
      <c r="P21" s="486"/>
      <c r="Q21" s="478">
        <v>1</v>
      </c>
      <c r="R21" s="459">
        <f t="shared" si="8"/>
        <v>20</v>
      </c>
      <c r="S21" s="479">
        <f t="shared" si="4"/>
        <v>0</v>
      </c>
    </row>
    <row r="22" spans="1:19" ht="25.5" customHeight="1">
      <c r="A22" s="430" t="s">
        <v>63</v>
      </c>
      <c r="B22" s="431" t="s">
        <v>443</v>
      </c>
      <c r="C22" s="459">
        <f t="shared" si="2"/>
        <v>21</v>
      </c>
      <c r="D22" s="486">
        <v>8</v>
      </c>
      <c r="E22" s="486">
        <v>13</v>
      </c>
      <c r="F22" s="486"/>
      <c r="G22" s="486"/>
      <c r="H22" s="468">
        <f t="shared" si="5"/>
        <v>21</v>
      </c>
      <c r="I22" s="468">
        <f t="shared" si="6"/>
        <v>20</v>
      </c>
      <c r="J22" s="486">
        <v>3</v>
      </c>
      <c r="K22" s="486"/>
      <c r="L22" s="478">
        <f t="shared" si="7"/>
        <v>17</v>
      </c>
      <c r="M22" s="486"/>
      <c r="N22" s="486"/>
      <c r="O22" s="486"/>
      <c r="P22" s="486"/>
      <c r="Q22" s="478">
        <v>1</v>
      </c>
      <c r="R22" s="459">
        <f t="shared" si="8"/>
        <v>18</v>
      </c>
      <c r="S22" s="479">
        <f t="shared" si="4"/>
        <v>0.15</v>
      </c>
    </row>
    <row r="23" spans="1:19" ht="25.5" customHeight="1">
      <c r="A23" s="430" t="s">
        <v>83</v>
      </c>
      <c r="B23" s="431" t="s">
        <v>453</v>
      </c>
      <c r="C23" s="459">
        <f t="shared" si="2"/>
        <v>13</v>
      </c>
      <c r="D23" s="486">
        <v>9</v>
      </c>
      <c r="E23" s="486">
        <v>4</v>
      </c>
      <c r="F23" s="486"/>
      <c r="G23" s="486"/>
      <c r="H23" s="468">
        <f t="shared" si="5"/>
        <v>13</v>
      </c>
      <c r="I23" s="468">
        <f t="shared" si="6"/>
        <v>7</v>
      </c>
      <c r="J23" s="486"/>
      <c r="K23" s="486"/>
      <c r="L23" s="478">
        <f t="shared" si="7"/>
        <v>7</v>
      </c>
      <c r="M23" s="486"/>
      <c r="N23" s="486"/>
      <c r="O23" s="486"/>
      <c r="P23" s="486"/>
      <c r="Q23" s="478">
        <v>6</v>
      </c>
      <c r="R23" s="459">
        <f t="shared" si="8"/>
        <v>13</v>
      </c>
      <c r="S23" s="479">
        <f t="shared" si="4"/>
        <v>0</v>
      </c>
    </row>
    <row r="24" spans="1:19" ht="25.5" customHeight="1">
      <c r="A24" s="430" t="s">
        <v>84</v>
      </c>
      <c r="B24" s="431" t="s">
        <v>563</v>
      </c>
      <c r="C24" s="459">
        <f t="shared" si="2"/>
        <v>3</v>
      </c>
      <c r="D24" s="486"/>
      <c r="E24" s="486">
        <v>3</v>
      </c>
      <c r="F24" s="486"/>
      <c r="G24" s="486"/>
      <c r="H24" s="468">
        <f t="shared" si="5"/>
        <v>3</v>
      </c>
      <c r="I24" s="468">
        <f t="shared" si="6"/>
        <v>3</v>
      </c>
      <c r="J24" s="486">
        <v>1</v>
      </c>
      <c r="K24" s="486"/>
      <c r="L24" s="478"/>
      <c r="M24" s="486"/>
      <c r="N24" s="486"/>
      <c r="O24" s="486"/>
      <c r="P24" s="486"/>
      <c r="Q24" s="478"/>
      <c r="R24" s="459">
        <f t="shared" si="8"/>
        <v>2</v>
      </c>
      <c r="S24" s="479">
        <f t="shared" si="4"/>
        <v>0.3333333333333333</v>
      </c>
    </row>
    <row r="25" spans="1:19" ht="25.5" customHeight="1">
      <c r="A25" s="430" t="s">
        <v>85</v>
      </c>
      <c r="B25" s="431" t="s">
        <v>454</v>
      </c>
      <c r="C25" s="459">
        <f t="shared" si="2"/>
        <v>6</v>
      </c>
      <c r="D25" s="486">
        <v>3</v>
      </c>
      <c r="E25" s="486">
        <v>3</v>
      </c>
      <c r="F25" s="486"/>
      <c r="G25" s="486"/>
      <c r="H25" s="468">
        <f t="shared" si="5"/>
        <v>6</v>
      </c>
      <c r="I25" s="468">
        <f t="shared" si="6"/>
        <v>4</v>
      </c>
      <c r="J25" s="486">
        <v>2</v>
      </c>
      <c r="K25" s="486"/>
      <c r="L25" s="478">
        <f t="shared" si="7"/>
        <v>1</v>
      </c>
      <c r="M25" s="486">
        <v>1</v>
      </c>
      <c r="N25" s="486"/>
      <c r="O25" s="486"/>
      <c r="P25" s="486"/>
      <c r="Q25" s="478">
        <v>2</v>
      </c>
      <c r="R25" s="459">
        <f t="shared" si="8"/>
        <v>4</v>
      </c>
      <c r="S25" s="479">
        <f t="shared" si="4"/>
        <v>0.5</v>
      </c>
    </row>
    <row r="26" spans="1:19" ht="25.5" customHeight="1">
      <c r="A26" s="430" t="s">
        <v>86</v>
      </c>
      <c r="B26" s="431" t="s">
        <v>455</v>
      </c>
      <c r="C26" s="459">
        <f t="shared" si="2"/>
        <v>12</v>
      </c>
      <c r="D26" s="486">
        <v>11</v>
      </c>
      <c r="E26" s="486">
        <v>1</v>
      </c>
      <c r="F26" s="486"/>
      <c r="G26" s="486"/>
      <c r="H26" s="468">
        <f t="shared" si="5"/>
        <v>12</v>
      </c>
      <c r="I26" s="468">
        <f t="shared" si="6"/>
        <v>8</v>
      </c>
      <c r="J26" s="486">
        <v>4</v>
      </c>
      <c r="K26" s="486"/>
      <c r="L26" s="478">
        <f t="shared" si="7"/>
        <v>1</v>
      </c>
      <c r="M26" s="486"/>
      <c r="N26" s="486"/>
      <c r="O26" s="487"/>
      <c r="P26" s="486">
        <v>3</v>
      </c>
      <c r="Q26" s="478">
        <v>4</v>
      </c>
      <c r="R26" s="459">
        <f t="shared" si="8"/>
        <v>8</v>
      </c>
      <c r="S26" s="479">
        <f t="shared" si="4"/>
        <v>0.5</v>
      </c>
    </row>
    <row r="27" spans="1:19" ht="25.5" customHeight="1">
      <c r="A27" s="430" t="s">
        <v>87</v>
      </c>
      <c r="B27" s="431" t="s">
        <v>456</v>
      </c>
      <c r="C27" s="459">
        <f t="shared" si="2"/>
        <v>4</v>
      </c>
      <c r="D27" s="486">
        <v>2</v>
      </c>
      <c r="E27" s="486">
        <v>2</v>
      </c>
      <c r="F27" s="486"/>
      <c r="G27" s="486"/>
      <c r="H27" s="468">
        <f t="shared" si="5"/>
        <v>4</v>
      </c>
      <c r="I27" s="468">
        <f t="shared" si="6"/>
        <v>2</v>
      </c>
      <c r="J27" s="486">
        <v>2</v>
      </c>
      <c r="K27" s="486"/>
      <c r="L27" s="478">
        <f t="shared" si="7"/>
        <v>0</v>
      </c>
      <c r="M27" s="486"/>
      <c r="N27" s="486"/>
      <c r="O27" s="486"/>
      <c r="P27" s="486"/>
      <c r="Q27" s="478">
        <v>2</v>
      </c>
      <c r="R27" s="459">
        <f t="shared" si="8"/>
        <v>2</v>
      </c>
      <c r="S27" s="479">
        <f t="shared" si="4"/>
        <v>1</v>
      </c>
    </row>
    <row r="28" spans="1:19" ht="25.5" customHeight="1">
      <c r="A28" s="432" t="s">
        <v>1</v>
      </c>
      <c r="B28" s="433" t="s">
        <v>17</v>
      </c>
      <c r="C28" s="458">
        <f t="shared" si="2"/>
        <v>8301</v>
      </c>
      <c r="D28" s="496">
        <f aca="true" t="shared" si="9" ref="D28:R28">D29+D39+D49+D52+D57+D65+D71+D75+D82+D87+D91+D95</f>
        <v>5256</v>
      </c>
      <c r="E28" s="496">
        <f t="shared" si="9"/>
        <v>3045</v>
      </c>
      <c r="F28" s="496">
        <f t="shared" si="9"/>
        <v>31</v>
      </c>
      <c r="G28" s="496">
        <f t="shared" si="9"/>
        <v>0</v>
      </c>
      <c r="H28" s="496">
        <f t="shared" si="9"/>
        <v>8270</v>
      </c>
      <c r="I28" s="496">
        <f t="shared" si="9"/>
        <v>5823</v>
      </c>
      <c r="J28" s="496">
        <f t="shared" si="9"/>
        <v>1886</v>
      </c>
      <c r="K28" s="496">
        <f t="shared" si="9"/>
        <v>104</v>
      </c>
      <c r="L28" s="496">
        <f t="shared" si="9"/>
        <v>3745</v>
      </c>
      <c r="M28" s="496">
        <f t="shared" si="9"/>
        <v>49</v>
      </c>
      <c r="N28" s="496">
        <f t="shared" si="9"/>
        <v>11</v>
      </c>
      <c r="O28" s="496">
        <f t="shared" si="9"/>
        <v>4</v>
      </c>
      <c r="P28" s="496">
        <f t="shared" si="9"/>
        <v>24</v>
      </c>
      <c r="Q28" s="496">
        <f t="shared" si="9"/>
        <v>2447</v>
      </c>
      <c r="R28" s="458">
        <f t="shared" si="9"/>
        <v>6280</v>
      </c>
      <c r="S28" s="378">
        <f t="shared" si="4"/>
        <v>0.3417482397389662</v>
      </c>
    </row>
    <row r="29" spans="1:20" ht="25.5" customHeight="1">
      <c r="A29" s="432" t="s">
        <v>43</v>
      </c>
      <c r="B29" s="433" t="s">
        <v>457</v>
      </c>
      <c r="C29" s="459">
        <f t="shared" si="2"/>
        <v>1774</v>
      </c>
      <c r="D29" s="468">
        <f>D30+D31+D32+D33+D34+D35+D36+D37+D38</f>
        <v>1125</v>
      </c>
      <c r="E29" s="468">
        <f aca="true" t="shared" si="10" ref="E29:R29">E30+E31+E32+E33+E34+E35+E36+E37+E38</f>
        <v>649</v>
      </c>
      <c r="F29" s="468">
        <f t="shared" si="10"/>
        <v>3</v>
      </c>
      <c r="G29" s="468">
        <f t="shared" si="10"/>
        <v>0</v>
      </c>
      <c r="H29" s="468">
        <f t="shared" si="10"/>
        <v>1771</v>
      </c>
      <c r="I29" s="468">
        <f t="shared" si="10"/>
        <v>1169</v>
      </c>
      <c r="J29" s="468">
        <f t="shared" si="10"/>
        <v>347</v>
      </c>
      <c r="K29" s="468">
        <f t="shared" si="10"/>
        <v>32</v>
      </c>
      <c r="L29" s="468">
        <f t="shared" si="10"/>
        <v>741</v>
      </c>
      <c r="M29" s="468">
        <f t="shared" si="10"/>
        <v>23</v>
      </c>
      <c r="N29" s="468">
        <f t="shared" si="10"/>
        <v>3</v>
      </c>
      <c r="O29" s="468">
        <f t="shared" si="10"/>
        <v>0</v>
      </c>
      <c r="P29" s="468">
        <f t="shared" si="10"/>
        <v>23</v>
      </c>
      <c r="Q29" s="468">
        <f t="shared" si="10"/>
        <v>602</v>
      </c>
      <c r="R29" s="459">
        <f t="shared" si="10"/>
        <v>1392</v>
      </c>
      <c r="S29" s="378">
        <f t="shared" si="4"/>
        <v>0.3242087254063302</v>
      </c>
      <c r="T29" s="23" t="s">
        <v>571</v>
      </c>
    </row>
    <row r="30" spans="1:19" ht="25.5" customHeight="1">
      <c r="A30" s="430" t="s">
        <v>45</v>
      </c>
      <c r="B30" s="434" t="s">
        <v>568</v>
      </c>
      <c r="C30" s="459">
        <f t="shared" si="2"/>
        <v>21</v>
      </c>
      <c r="D30" s="497">
        <v>10</v>
      </c>
      <c r="E30" s="492">
        <v>11</v>
      </c>
      <c r="F30" s="492">
        <v>0</v>
      </c>
      <c r="G30" s="498">
        <v>0</v>
      </c>
      <c r="H30" s="468">
        <f t="shared" si="5"/>
        <v>21</v>
      </c>
      <c r="I30" s="468">
        <f t="shared" si="6"/>
        <v>12</v>
      </c>
      <c r="J30" s="492">
        <v>9</v>
      </c>
      <c r="K30" s="492">
        <v>1</v>
      </c>
      <c r="L30" s="478">
        <f t="shared" si="7"/>
        <v>2</v>
      </c>
      <c r="M30" s="492">
        <v>0</v>
      </c>
      <c r="N30" s="492" t="s">
        <v>445</v>
      </c>
      <c r="O30" s="492" t="s">
        <v>445</v>
      </c>
      <c r="P30" s="492" t="s">
        <v>445</v>
      </c>
      <c r="Q30" s="493">
        <v>9</v>
      </c>
      <c r="R30" s="459">
        <f t="shared" si="8"/>
        <v>11</v>
      </c>
      <c r="S30" s="378">
        <f t="shared" si="4"/>
        <v>0.8333333333333334</v>
      </c>
    </row>
    <row r="31" spans="1:19" ht="25.5" customHeight="1">
      <c r="A31" s="430" t="s">
        <v>46</v>
      </c>
      <c r="B31" s="434" t="s">
        <v>459</v>
      </c>
      <c r="C31" s="459">
        <f t="shared" si="2"/>
        <v>207</v>
      </c>
      <c r="D31" s="497">
        <v>122</v>
      </c>
      <c r="E31" s="492">
        <v>85</v>
      </c>
      <c r="F31" s="492">
        <v>0</v>
      </c>
      <c r="G31" s="498">
        <v>0</v>
      </c>
      <c r="H31" s="468">
        <f t="shared" si="5"/>
        <v>207</v>
      </c>
      <c r="I31" s="468">
        <f t="shared" si="6"/>
        <v>126</v>
      </c>
      <c r="J31" s="492">
        <v>56</v>
      </c>
      <c r="K31" s="492">
        <v>0</v>
      </c>
      <c r="L31" s="478">
        <f t="shared" si="7"/>
        <v>62</v>
      </c>
      <c r="M31" s="492">
        <v>8</v>
      </c>
      <c r="N31" s="492">
        <v>0</v>
      </c>
      <c r="O31" s="492">
        <v>0</v>
      </c>
      <c r="P31" s="492">
        <v>0</v>
      </c>
      <c r="Q31" s="493">
        <v>81</v>
      </c>
      <c r="R31" s="459">
        <f t="shared" si="8"/>
        <v>151</v>
      </c>
      <c r="S31" s="378">
        <f t="shared" si="4"/>
        <v>0.4444444444444444</v>
      </c>
    </row>
    <row r="32" spans="1:19" ht="25.5" customHeight="1">
      <c r="A32" s="430" t="s">
        <v>104</v>
      </c>
      <c r="B32" s="434" t="s">
        <v>460</v>
      </c>
      <c r="C32" s="459">
        <f t="shared" si="2"/>
        <v>222</v>
      </c>
      <c r="D32" s="497">
        <v>141</v>
      </c>
      <c r="E32" s="492">
        <v>81</v>
      </c>
      <c r="F32" s="492">
        <v>0</v>
      </c>
      <c r="G32" s="498"/>
      <c r="H32" s="468">
        <f t="shared" si="5"/>
        <v>222</v>
      </c>
      <c r="I32" s="468">
        <f t="shared" si="6"/>
        <v>156</v>
      </c>
      <c r="J32" s="492">
        <v>48</v>
      </c>
      <c r="K32" s="492">
        <v>12</v>
      </c>
      <c r="L32" s="478">
        <f t="shared" si="7"/>
        <v>88</v>
      </c>
      <c r="M32" s="492">
        <v>2</v>
      </c>
      <c r="N32" s="492"/>
      <c r="O32" s="492"/>
      <c r="P32" s="492">
        <v>6</v>
      </c>
      <c r="Q32" s="493">
        <v>66</v>
      </c>
      <c r="R32" s="459">
        <f t="shared" si="8"/>
        <v>162</v>
      </c>
      <c r="S32" s="378">
        <f t="shared" si="4"/>
        <v>0.38461538461538464</v>
      </c>
    </row>
    <row r="33" spans="1:19" ht="25.5" customHeight="1">
      <c r="A33" s="430" t="s">
        <v>106</v>
      </c>
      <c r="B33" s="434" t="s">
        <v>462</v>
      </c>
      <c r="C33" s="459">
        <f t="shared" si="2"/>
        <v>224</v>
      </c>
      <c r="D33" s="497">
        <v>135</v>
      </c>
      <c r="E33" s="492">
        <v>89</v>
      </c>
      <c r="F33" s="492">
        <v>0</v>
      </c>
      <c r="G33" s="498">
        <v>0</v>
      </c>
      <c r="H33" s="468">
        <f t="shared" si="5"/>
        <v>224</v>
      </c>
      <c r="I33" s="468">
        <f t="shared" si="6"/>
        <v>157</v>
      </c>
      <c r="J33" s="492">
        <v>31</v>
      </c>
      <c r="K33" s="492">
        <v>1</v>
      </c>
      <c r="L33" s="478">
        <f t="shared" si="7"/>
        <v>122</v>
      </c>
      <c r="M33" s="492">
        <v>0</v>
      </c>
      <c r="N33" s="492">
        <v>0</v>
      </c>
      <c r="O33" s="492">
        <v>0</v>
      </c>
      <c r="P33" s="492">
        <v>3</v>
      </c>
      <c r="Q33" s="493">
        <v>67</v>
      </c>
      <c r="R33" s="459">
        <f t="shared" si="8"/>
        <v>192</v>
      </c>
      <c r="S33" s="378">
        <f t="shared" si="4"/>
        <v>0.20382165605095542</v>
      </c>
    </row>
    <row r="34" spans="1:19" ht="25.5" customHeight="1">
      <c r="A34" s="430" t="s">
        <v>107</v>
      </c>
      <c r="B34" s="434" t="s">
        <v>463</v>
      </c>
      <c r="C34" s="459">
        <f t="shared" si="2"/>
        <v>286</v>
      </c>
      <c r="D34" s="497">
        <v>220</v>
      </c>
      <c r="E34" s="492">
        <v>66</v>
      </c>
      <c r="F34" s="492">
        <v>0</v>
      </c>
      <c r="G34" s="498">
        <v>0</v>
      </c>
      <c r="H34" s="468">
        <f t="shared" si="5"/>
        <v>286</v>
      </c>
      <c r="I34" s="468">
        <f t="shared" si="6"/>
        <v>168</v>
      </c>
      <c r="J34" s="492">
        <v>19</v>
      </c>
      <c r="K34" s="492">
        <v>0</v>
      </c>
      <c r="L34" s="478">
        <f t="shared" si="7"/>
        <v>131</v>
      </c>
      <c r="M34" s="492">
        <v>7</v>
      </c>
      <c r="N34" s="492"/>
      <c r="O34" s="492"/>
      <c r="P34" s="492">
        <v>11</v>
      </c>
      <c r="Q34" s="493">
        <v>118</v>
      </c>
      <c r="R34" s="459">
        <f t="shared" si="8"/>
        <v>267</v>
      </c>
      <c r="S34" s="378">
        <f t="shared" si="4"/>
        <v>0.1130952380952381</v>
      </c>
    </row>
    <row r="35" spans="1:19" ht="25.5" customHeight="1">
      <c r="A35" s="430" t="s">
        <v>109</v>
      </c>
      <c r="B35" s="434" t="s">
        <v>464</v>
      </c>
      <c r="C35" s="459">
        <f t="shared" si="2"/>
        <v>220</v>
      </c>
      <c r="D35" s="497">
        <v>122</v>
      </c>
      <c r="E35" s="492">
        <v>98</v>
      </c>
      <c r="F35" s="492">
        <v>0</v>
      </c>
      <c r="G35" s="498">
        <v>0</v>
      </c>
      <c r="H35" s="468">
        <f t="shared" si="5"/>
        <v>220</v>
      </c>
      <c r="I35" s="468">
        <f t="shared" si="6"/>
        <v>158</v>
      </c>
      <c r="J35" s="492">
        <v>45</v>
      </c>
      <c r="K35" s="492">
        <v>3</v>
      </c>
      <c r="L35" s="478">
        <f t="shared" si="7"/>
        <v>104</v>
      </c>
      <c r="M35" s="492">
        <v>6</v>
      </c>
      <c r="N35" s="492">
        <v>0</v>
      </c>
      <c r="O35" s="492"/>
      <c r="P35" s="492">
        <v>0</v>
      </c>
      <c r="Q35" s="493">
        <v>62</v>
      </c>
      <c r="R35" s="459">
        <f t="shared" si="8"/>
        <v>172</v>
      </c>
      <c r="S35" s="378">
        <f t="shared" si="4"/>
        <v>0.3037974683544304</v>
      </c>
    </row>
    <row r="36" spans="1:19" ht="25.5" customHeight="1">
      <c r="A36" s="430" t="s">
        <v>110</v>
      </c>
      <c r="B36" s="434" t="s">
        <v>465</v>
      </c>
      <c r="C36" s="459">
        <f t="shared" si="2"/>
        <v>302</v>
      </c>
      <c r="D36" s="497">
        <v>192</v>
      </c>
      <c r="E36" s="492">
        <v>110</v>
      </c>
      <c r="F36" s="492">
        <v>0</v>
      </c>
      <c r="G36" s="498">
        <v>0</v>
      </c>
      <c r="H36" s="468">
        <f t="shared" si="5"/>
        <v>302</v>
      </c>
      <c r="I36" s="468">
        <f t="shared" si="6"/>
        <v>201</v>
      </c>
      <c r="J36" s="492">
        <v>66</v>
      </c>
      <c r="K36" s="492">
        <v>8</v>
      </c>
      <c r="L36" s="478">
        <f t="shared" si="7"/>
        <v>121</v>
      </c>
      <c r="M36" s="492">
        <v>0</v>
      </c>
      <c r="N36" s="492">
        <v>3</v>
      </c>
      <c r="O36" s="492"/>
      <c r="P36" s="492">
        <v>3</v>
      </c>
      <c r="Q36" s="493">
        <v>101</v>
      </c>
      <c r="R36" s="459">
        <f t="shared" si="8"/>
        <v>228</v>
      </c>
      <c r="S36" s="378">
        <f t="shared" si="4"/>
        <v>0.3681592039800995</v>
      </c>
    </row>
    <row r="37" spans="1:19" ht="25.5" customHeight="1">
      <c r="A37" s="430" t="s">
        <v>122</v>
      </c>
      <c r="B37" s="434" t="s">
        <v>466</v>
      </c>
      <c r="C37" s="459">
        <f t="shared" si="2"/>
        <v>292</v>
      </c>
      <c r="D37" s="497">
        <v>183</v>
      </c>
      <c r="E37" s="492">
        <v>109</v>
      </c>
      <c r="F37" s="492">
        <v>3</v>
      </c>
      <c r="G37" s="498">
        <v>0</v>
      </c>
      <c r="H37" s="468">
        <f t="shared" si="5"/>
        <v>289</v>
      </c>
      <c r="I37" s="468">
        <f t="shared" si="6"/>
        <v>191</v>
      </c>
      <c r="J37" s="492">
        <v>73</v>
      </c>
      <c r="K37" s="492">
        <v>7</v>
      </c>
      <c r="L37" s="478">
        <f t="shared" si="7"/>
        <v>111</v>
      </c>
      <c r="M37" s="492">
        <v>0</v>
      </c>
      <c r="N37" s="492">
        <v>0</v>
      </c>
      <c r="O37" s="492">
        <v>0</v>
      </c>
      <c r="P37" s="492">
        <v>0</v>
      </c>
      <c r="Q37" s="493">
        <v>98</v>
      </c>
      <c r="R37" s="459">
        <f t="shared" si="8"/>
        <v>209</v>
      </c>
      <c r="S37" s="378">
        <f t="shared" si="4"/>
        <v>0.418848167539267</v>
      </c>
    </row>
    <row r="38" spans="1:19" ht="25.5" customHeight="1">
      <c r="A38" s="430"/>
      <c r="B38" s="434"/>
      <c r="C38" s="459">
        <f t="shared" si="2"/>
        <v>0</v>
      </c>
      <c r="D38" s="498"/>
      <c r="E38" s="498"/>
      <c r="F38" s="498"/>
      <c r="G38" s="498"/>
      <c r="H38" s="468">
        <f t="shared" si="5"/>
        <v>0</v>
      </c>
      <c r="I38" s="468">
        <f t="shared" si="6"/>
        <v>0</v>
      </c>
      <c r="J38" s="499"/>
      <c r="K38" s="499"/>
      <c r="L38" s="478">
        <f t="shared" si="7"/>
        <v>0</v>
      </c>
      <c r="M38" s="498"/>
      <c r="N38" s="498"/>
      <c r="O38" s="498"/>
      <c r="P38" s="498"/>
      <c r="Q38" s="493"/>
      <c r="R38" s="459">
        <f t="shared" si="8"/>
        <v>0</v>
      </c>
      <c r="S38" s="378"/>
    </row>
    <row r="39" spans="1:19" ht="25.5" customHeight="1">
      <c r="A39" s="432" t="s">
        <v>44</v>
      </c>
      <c r="B39" s="433" t="s">
        <v>467</v>
      </c>
      <c r="C39" s="459">
        <f t="shared" si="2"/>
        <v>1325</v>
      </c>
      <c r="D39" s="468">
        <f>D40+D41+D42+D43+D44+D45+D46++D47+D48</f>
        <v>964</v>
      </c>
      <c r="E39" s="468">
        <f aca="true" t="shared" si="11" ref="E39:R39">E40+E41+E42+E43+E44+E45+E46++E47+E48</f>
        <v>361</v>
      </c>
      <c r="F39" s="468">
        <f t="shared" si="11"/>
        <v>4</v>
      </c>
      <c r="G39" s="468">
        <f t="shared" si="11"/>
        <v>0</v>
      </c>
      <c r="H39" s="468">
        <f t="shared" si="11"/>
        <v>1321</v>
      </c>
      <c r="I39" s="468">
        <f t="shared" si="11"/>
        <v>825</v>
      </c>
      <c r="J39" s="468">
        <f t="shared" si="11"/>
        <v>134</v>
      </c>
      <c r="K39" s="468">
        <f t="shared" si="11"/>
        <v>3</v>
      </c>
      <c r="L39" s="468">
        <f t="shared" si="11"/>
        <v>688</v>
      </c>
      <c r="M39" s="468">
        <f t="shared" si="11"/>
        <v>0</v>
      </c>
      <c r="N39" s="468">
        <f t="shared" si="11"/>
        <v>0</v>
      </c>
      <c r="O39" s="468">
        <f t="shared" si="11"/>
        <v>0</v>
      </c>
      <c r="P39" s="468">
        <f t="shared" si="11"/>
        <v>0</v>
      </c>
      <c r="Q39" s="468">
        <f t="shared" si="11"/>
        <v>496</v>
      </c>
      <c r="R39" s="459">
        <f t="shared" si="11"/>
        <v>1184</v>
      </c>
      <c r="S39" s="378">
        <f t="shared" si="4"/>
        <v>0.16606060606060605</v>
      </c>
    </row>
    <row r="40" spans="1:19" ht="25.5" customHeight="1">
      <c r="A40" s="430" t="s">
        <v>47</v>
      </c>
      <c r="B40" s="434" t="s">
        <v>468</v>
      </c>
      <c r="C40" s="480">
        <v>95</v>
      </c>
      <c r="D40" s="500">
        <v>75</v>
      </c>
      <c r="E40" s="500">
        <f>C40-D40</f>
        <v>20</v>
      </c>
      <c r="F40" s="500">
        <v>3</v>
      </c>
      <c r="G40" s="500"/>
      <c r="H40" s="468">
        <f t="shared" si="5"/>
        <v>92</v>
      </c>
      <c r="I40" s="468">
        <f t="shared" si="6"/>
        <v>58</v>
      </c>
      <c r="J40" s="495">
        <v>12</v>
      </c>
      <c r="K40" s="495"/>
      <c r="L40" s="478">
        <f t="shared" si="7"/>
        <v>46</v>
      </c>
      <c r="M40" s="494">
        <v>0</v>
      </c>
      <c r="N40" s="501"/>
      <c r="O40" s="495"/>
      <c r="P40" s="495"/>
      <c r="Q40" s="495">
        <v>34</v>
      </c>
      <c r="R40" s="459">
        <f t="shared" si="8"/>
        <v>80</v>
      </c>
      <c r="S40" s="378">
        <f t="shared" si="4"/>
        <v>0.20689655172413793</v>
      </c>
    </row>
    <row r="41" spans="1:19" ht="25.5" customHeight="1">
      <c r="A41" s="430" t="s">
        <v>48</v>
      </c>
      <c r="B41" s="434" t="s">
        <v>469</v>
      </c>
      <c r="C41" s="480">
        <v>114</v>
      </c>
      <c r="D41" s="500">
        <v>80</v>
      </c>
      <c r="E41" s="500">
        <f aca="true" t="shared" si="12" ref="E41:E46">C41-D41</f>
        <v>34</v>
      </c>
      <c r="F41" s="500"/>
      <c r="G41" s="500"/>
      <c r="H41" s="468">
        <f t="shared" si="5"/>
        <v>114</v>
      </c>
      <c r="I41" s="468">
        <f t="shared" si="6"/>
        <v>85</v>
      </c>
      <c r="J41" s="495">
        <v>6</v>
      </c>
      <c r="K41" s="495">
        <v>1</v>
      </c>
      <c r="L41" s="478">
        <f t="shared" si="7"/>
        <v>78</v>
      </c>
      <c r="M41" s="494">
        <v>0</v>
      </c>
      <c r="N41" s="501"/>
      <c r="O41" s="495"/>
      <c r="P41" s="495"/>
      <c r="Q41" s="495">
        <v>29</v>
      </c>
      <c r="R41" s="459">
        <f t="shared" si="8"/>
        <v>107</v>
      </c>
      <c r="S41" s="378">
        <f t="shared" si="4"/>
        <v>0.08235294117647059</v>
      </c>
    </row>
    <row r="42" spans="1:19" ht="25.5" customHeight="1">
      <c r="A42" s="430" t="s">
        <v>470</v>
      </c>
      <c r="B42" s="434" t="s">
        <v>471</v>
      </c>
      <c r="C42" s="480">
        <v>247</v>
      </c>
      <c r="D42" s="500">
        <v>153</v>
      </c>
      <c r="E42" s="500">
        <f t="shared" si="12"/>
        <v>94</v>
      </c>
      <c r="F42" s="500"/>
      <c r="G42" s="500"/>
      <c r="H42" s="468">
        <f t="shared" si="5"/>
        <v>247</v>
      </c>
      <c r="I42" s="468">
        <f t="shared" si="6"/>
        <v>149</v>
      </c>
      <c r="J42" s="495">
        <v>28</v>
      </c>
      <c r="K42" s="495"/>
      <c r="L42" s="478">
        <f t="shared" si="7"/>
        <v>121</v>
      </c>
      <c r="M42" s="494">
        <v>0</v>
      </c>
      <c r="N42" s="501"/>
      <c r="O42" s="495"/>
      <c r="P42" s="495"/>
      <c r="Q42" s="495">
        <v>98</v>
      </c>
      <c r="R42" s="459">
        <f t="shared" si="8"/>
        <v>219</v>
      </c>
      <c r="S42" s="378">
        <f t="shared" si="4"/>
        <v>0.18791946308724833</v>
      </c>
    </row>
    <row r="43" spans="1:19" ht="25.5" customHeight="1">
      <c r="A43" s="430" t="s">
        <v>472</v>
      </c>
      <c r="B43" s="434" t="s">
        <v>473</v>
      </c>
      <c r="C43" s="480">
        <v>182</v>
      </c>
      <c r="D43" s="500">
        <v>145</v>
      </c>
      <c r="E43" s="500">
        <f t="shared" si="12"/>
        <v>37</v>
      </c>
      <c r="F43" s="500"/>
      <c r="G43" s="500"/>
      <c r="H43" s="468">
        <f t="shared" si="5"/>
        <v>182</v>
      </c>
      <c r="I43" s="468">
        <f t="shared" si="6"/>
        <v>114</v>
      </c>
      <c r="J43" s="495">
        <v>10</v>
      </c>
      <c r="K43" s="495"/>
      <c r="L43" s="478">
        <f t="shared" si="7"/>
        <v>104</v>
      </c>
      <c r="M43" s="494">
        <v>0</v>
      </c>
      <c r="N43" s="501"/>
      <c r="O43" s="495"/>
      <c r="P43" s="495"/>
      <c r="Q43" s="495">
        <v>68</v>
      </c>
      <c r="R43" s="459">
        <f t="shared" si="8"/>
        <v>172</v>
      </c>
      <c r="S43" s="378">
        <f t="shared" si="4"/>
        <v>0.08771929824561403</v>
      </c>
    </row>
    <row r="44" spans="1:19" ht="25.5" customHeight="1">
      <c r="A44" s="430" t="s">
        <v>475</v>
      </c>
      <c r="B44" s="434" t="s">
        <v>476</v>
      </c>
      <c r="C44" s="480">
        <v>104</v>
      </c>
      <c r="D44" s="500">
        <v>68</v>
      </c>
      <c r="E44" s="500">
        <f t="shared" si="12"/>
        <v>36</v>
      </c>
      <c r="F44" s="500"/>
      <c r="G44" s="500"/>
      <c r="H44" s="468">
        <f t="shared" si="5"/>
        <v>104</v>
      </c>
      <c r="I44" s="468">
        <f t="shared" si="6"/>
        <v>79</v>
      </c>
      <c r="J44" s="495">
        <v>15</v>
      </c>
      <c r="K44" s="495">
        <v>2</v>
      </c>
      <c r="L44" s="478">
        <f t="shared" si="7"/>
        <v>62</v>
      </c>
      <c r="M44" s="494">
        <v>0</v>
      </c>
      <c r="N44" s="501"/>
      <c r="O44" s="495"/>
      <c r="P44" s="495"/>
      <c r="Q44" s="495">
        <v>25</v>
      </c>
      <c r="R44" s="459">
        <f t="shared" si="8"/>
        <v>87</v>
      </c>
      <c r="S44" s="378">
        <f t="shared" si="4"/>
        <v>0.21518987341772153</v>
      </c>
    </row>
    <row r="45" spans="1:19" ht="25.5" customHeight="1">
      <c r="A45" s="430" t="s">
        <v>477</v>
      </c>
      <c r="B45" s="434" t="s">
        <v>478</v>
      </c>
      <c r="C45" s="480">
        <v>158</v>
      </c>
      <c r="D45" s="500">
        <v>116</v>
      </c>
      <c r="E45" s="500">
        <f t="shared" si="12"/>
        <v>42</v>
      </c>
      <c r="F45" s="500"/>
      <c r="G45" s="500"/>
      <c r="H45" s="468">
        <f t="shared" si="5"/>
        <v>158</v>
      </c>
      <c r="I45" s="468">
        <f t="shared" si="6"/>
        <v>97</v>
      </c>
      <c r="J45" s="495">
        <v>29</v>
      </c>
      <c r="K45" s="495"/>
      <c r="L45" s="478">
        <f t="shared" si="7"/>
        <v>68</v>
      </c>
      <c r="M45" s="494">
        <v>0</v>
      </c>
      <c r="N45" s="501"/>
      <c r="O45" s="495"/>
      <c r="P45" s="495"/>
      <c r="Q45" s="495">
        <v>61</v>
      </c>
      <c r="R45" s="459">
        <f t="shared" si="8"/>
        <v>129</v>
      </c>
      <c r="S45" s="378">
        <f t="shared" si="4"/>
        <v>0.29896907216494845</v>
      </c>
    </row>
    <row r="46" spans="1:19" ht="25.5" customHeight="1">
      <c r="A46" s="430" t="s">
        <v>479</v>
      </c>
      <c r="B46" s="434" t="s">
        <v>480</v>
      </c>
      <c r="C46" s="480">
        <v>207</v>
      </c>
      <c r="D46" s="500">
        <v>168</v>
      </c>
      <c r="E46" s="500">
        <f t="shared" si="12"/>
        <v>39</v>
      </c>
      <c r="F46" s="500">
        <v>1</v>
      </c>
      <c r="G46" s="500"/>
      <c r="H46" s="468">
        <f t="shared" si="5"/>
        <v>206</v>
      </c>
      <c r="I46" s="468">
        <f t="shared" si="6"/>
        <v>120</v>
      </c>
      <c r="J46" s="495">
        <v>11</v>
      </c>
      <c r="K46" s="495"/>
      <c r="L46" s="478">
        <f t="shared" si="7"/>
        <v>109</v>
      </c>
      <c r="M46" s="494">
        <v>0</v>
      </c>
      <c r="N46" s="501"/>
      <c r="O46" s="495"/>
      <c r="P46" s="495"/>
      <c r="Q46" s="495">
        <v>86</v>
      </c>
      <c r="R46" s="459">
        <f t="shared" si="8"/>
        <v>195</v>
      </c>
      <c r="S46" s="378">
        <f t="shared" si="4"/>
        <v>0.09166666666666666</v>
      </c>
    </row>
    <row r="47" spans="1:19" ht="25.5" customHeight="1">
      <c r="A47" s="430" t="s">
        <v>481</v>
      </c>
      <c r="B47" s="434" t="s">
        <v>482</v>
      </c>
      <c r="C47" s="481">
        <v>139</v>
      </c>
      <c r="D47" s="502">
        <v>92</v>
      </c>
      <c r="E47" s="500">
        <f>C47-D47</f>
        <v>47</v>
      </c>
      <c r="F47" s="502"/>
      <c r="G47" s="502"/>
      <c r="H47" s="468">
        <f t="shared" si="5"/>
        <v>139</v>
      </c>
      <c r="I47" s="468">
        <f t="shared" si="6"/>
        <v>60</v>
      </c>
      <c r="J47" s="503">
        <v>14</v>
      </c>
      <c r="K47" s="503"/>
      <c r="L47" s="478">
        <f t="shared" si="7"/>
        <v>46</v>
      </c>
      <c r="M47" s="494">
        <v>0</v>
      </c>
      <c r="N47" s="504"/>
      <c r="O47" s="503"/>
      <c r="P47" s="505"/>
      <c r="Q47" s="506">
        <v>79</v>
      </c>
      <c r="R47" s="459">
        <f t="shared" si="8"/>
        <v>125</v>
      </c>
      <c r="S47" s="378">
        <f t="shared" si="4"/>
        <v>0.23333333333333334</v>
      </c>
    </row>
    <row r="48" spans="1:19" ht="25.5" customHeight="1">
      <c r="A48" s="430" t="s">
        <v>483</v>
      </c>
      <c r="B48" s="434" t="s">
        <v>484</v>
      </c>
      <c r="C48" s="481">
        <v>79</v>
      </c>
      <c r="D48" s="502">
        <v>67</v>
      </c>
      <c r="E48" s="500">
        <f>C48-D48</f>
        <v>12</v>
      </c>
      <c r="F48" s="502"/>
      <c r="G48" s="502"/>
      <c r="H48" s="468">
        <f t="shared" si="5"/>
        <v>79</v>
      </c>
      <c r="I48" s="468">
        <f t="shared" si="6"/>
        <v>63</v>
      </c>
      <c r="J48" s="503">
        <v>9</v>
      </c>
      <c r="K48" s="503"/>
      <c r="L48" s="478">
        <f t="shared" si="7"/>
        <v>54</v>
      </c>
      <c r="M48" s="494">
        <v>0</v>
      </c>
      <c r="N48" s="504"/>
      <c r="O48" s="503"/>
      <c r="P48" s="505"/>
      <c r="Q48" s="506">
        <v>16</v>
      </c>
      <c r="R48" s="459">
        <f t="shared" si="8"/>
        <v>70</v>
      </c>
      <c r="S48" s="378">
        <f t="shared" si="4"/>
        <v>0.14285714285714285</v>
      </c>
    </row>
    <row r="49" spans="1:19" ht="25.5" customHeight="1">
      <c r="A49" s="432" t="s">
        <v>49</v>
      </c>
      <c r="B49" s="433" t="s">
        <v>485</v>
      </c>
      <c r="C49" s="459">
        <f t="shared" si="2"/>
        <v>59</v>
      </c>
      <c r="D49" s="468">
        <f>D50+D51</f>
        <v>23</v>
      </c>
      <c r="E49" s="468">
        <f aca="true" t="shared" si="13" ref="E49:R49">E50+E51</f>
        <v>36</v>
      </c>
      <c r="F49" s="468">
        <f t="shared" si="13"/>
        <v>0</v>
      </c>
      <c r="G49" s="468">
        <f t="shared" si="13"/>
        <v>0</v>
      </c>
      <c r="H49" s="468">
        <f t="shared" si="5"/>
        <v>59</v>
      </c>
      <c r="I49" s="468">
        <f t="shared" si="13"/>
        <v>44</v>
      </c>
      <c r="J49" s="468">
        <f t="shared" si="13"/>
        <v>26</v>
      </c>
      <c r="K49" s="468">
        <f t="shared" si="13"/>
        <v>0</v>
      </c>
      <c r="L49" s="468">
        <f t="shared" si="13"/>
        <v>18</v>
      </c>
      <c r="M49" s="468">
        <f t="shared" si="13"/>
        <v>0</v>
      </c>
      <c r="N49" s="468">
        <f t="shared" si="13"/>
        <v>0</v>
      </c>
      <c r="O49" s="468">
        <f t="shared" si="13"/>
        <v>0</v>
      </c>
      <c r="P49" s="468">
        <f t="shared" si="13"/>
        <v>0</v>
      </c>
      <c r="Q49" s="468">
        <f t="shared" si="13"/>
        <v>15</v>
      </c>
      <c r="R49" s="459">
        <f t="shared" si="13"/>
        <v>33</v>
      </c>
      <c r="S49" s="378">
        <f t="shared" si="4"/>
        <v>0.5909090909090909</v>
      </c>
    </row>
    <row r="50" spans="1:19" ht="25.5" customHeight="1">
      <c r="A50" s="430" t="s">
        <v>113</v>
      </c>
      <c r="B50" s="435" t="s">
        <v>486</v>
      </c>
      <c r="C50" s="459">
        <f t="shared" si="2"/>
        <v>15</v>
      </c>
      <c r="D50" s="486" t="s">
        <v>49</v>
      </c>
      <c r="E50" s="507">
        <v>12</v>
      </c>
      <c r="F50" s="486"/>
      <c r="G50" s="486"/>
      <c r="H50" s="468">
        <f t="shared" si="5"/>
        <v>15</v>
      </c>
      <c r="I50" s="468">
        <f t="shared" si="6"/>
        <v>13</v>
      </c>
      <c r="J50" s="507">
        <v>8</v>
      </c>
      <c r="K50" s="507"/>
      <c r="L50" s="478">
        <f t="shared" si="7"/>
        <v>5</v>
      </c>
      <c r="M50" s="507"/>
      <c r="N50" s="507"/>
      <c r="O50" s="507"/>
      <c r="P50" s="507"/>
      <c r="Q50" s="507">
        <v>2</v>
      </c>
      <c r="R50" s="459">
        <f t="shared" si="8"/>
        <v>7</v>
      </c>
      <c r="S50" s="378">
        <f t="shared" si="4"/>
        <v>0.6153846153846154</v>
      </c>
    </row>
    <row r="51" spans="1:19" ht="25.5" customHeight="1">
      <c r="A51" s="430" t="s">
        <v>114</v>
      </c>
      <c r="B51" s="435" t="s">
        <v>487</v>
      </c>
      <c r="C51" s="459">
        <f t="shared" si="2"/>
        <v>44</v>
      </c>
      <c r="D51" s="486">
        <v>20</v>
      </c>
      <c r="E51" s="507">
        <v>24</v>
      </c>
      <c r="F51" s="486"/>
      <c r="G51" s="486"/>
      <c r="H51" s="468">
        <f t="shared" si="5"/>
        <v>44</v>
      </c>
      <c r="I51" s="468">
        <f t="shared" si="6"/>
        <v>31</v>
      </c>
      <c r="J51" s="507">
        <v>18</v>
      </c>
      <c r="K51" s="507"/>
      <c r="L51" s="478">
        <f t="shared" si="7"/>
        <v>13</v>
      </c>
      <c r="M51" s="507"/>
      <c r="N51" s="507"/>
      <c r="O51" s="507"/>
      <c r="P51" s="507"/>
      <c r="Q51" s="507">
        <v>13</v>
      </c>
      <c r="R51" s="459">
        <f t="shared" si="8"/>
        <v>26</v>
      </c>
      <c r="S51" s="378">
        <f t="shared" si="4"/>
        <v>0.5806451612903226</v>
      </c>
    </row>
    <row r="52" spans="1:19" ht="25.5" customHeight="1">
      <c r="A52" s="432" t="s">
        <v>58</v>
      </c>
      <c r="B52" s="433" t="s">
        <v>488</v>
      </c>
      <c r="C52" s="459">
        <f t="shared" si="2"/>
        <v>528</v>
      </c>
      <c r="D52" s="468">
        <f>D53+D54+D55+D56</f>
        <v>243</v>
      </c>
      <c r="E52" s="468">
        <f aca="true" t="shared" si="14" ref="E52:R52">E53+E54+E55+E56</f>
        <v>285</v>
      </c>
      <c r="F52" s="468">
        <f t="shared" si="14"/>
        <v>0</v>
      </c>
      <c r="G52" s="468">
        <f t="shared" si="14"/>
        <v>0</v>
      </c>
      <c r="H52" s="468">
        <f t="shared" si="5"/>
        <v>528</v>
      </c>
      <c r="I52" s="468">
        <f t="shared" si="14"/>
        <v>427</v>
      </c>
      <c r="J52" s="468">
        <f t="shared" si="14"/>
        <v>196</v>
      </c>
      <c r="K52" s="468">
        <f t="shared" si="14"/>
        <v>12</v>
      </c>
      <c r="L52" s="468">
        <f t="shared" si="14"/>
        <v>218</v>
      </c>
      <c r="M52" s="468">
        <f t="shared" si="14"/>
        <v>1</v>
      </c>
      <c r="N52" s="468">
        <f t="shared" si="14"/>
        <v>0</v>
      </c>
      <c r="O52" s="468">
        <f t="shared" si="14"/>
        <v>0</v>
      </c>
      <c r="P52" s="468">
        <f t="shared" si="14"/>
        <v>0</v>
      </c>
      <c r="Q52" s="468">
        <f t="shared" si="14"/>
        <v>101</v>
      </c>
      <c r="R52" s="459">
        <f t="shared" si="14"/>
        <v>320</v>
      </c>
      <c r="S52" s="378">
        <f t="shared" si="4"/>
        <v>0.48711943793911006</v>
      </c>
    </row>
    <row r="53" spans="1:19" ht="25.5" customHeight="1">
      <c r="A53" s="430" t="s">
        <v>115</v>
      </c>
      <c r="B53" s="435" t="s">
        <v>489</v>
      </c>
      <c r="C53" s="459">
        <f t="shared" si="2"/>
        <v>48</v>
      </c>
      <c r="D53" s="508">
        <v>15</v>
      </c>
      <c r="E53" s="508">
        <v>33</v>
      </c>
      <c r="F53" s="508">
        <v>0</v>
      </c>
      <c r="G53" s="508">
        <v>0</v>
      </c>
      <c r="H53" s="468">
        <f t="shared" si="5"/>
        <v>48</v>
      </c>
      <c r="I53" s="468">
        <f t="shared" si="6"/>
        <v>40</v>
      </c>
      <c r="J53" s="508">
        <v>26</v>
      </c>
      <c r="K53" s="508">
        <v>0</v>
      </c>
      <c r="L53" s="478">
        <f t="shared" si="7"/>
        <v>13</v>
      </c>
      <c r="M53" s="509" t="s">
        <v>43</v>
      </c>
      <c r="N53" s="509" t="s">
        <v>445</v>
      </c>
      <c r="O53" s="509" t="s">
        <v>445</v>
      </c>
      <c r="P53" s="510" t="s">
        <v>445</v>
      </c>
      <c r="Q53" s="511" t="s">
        <v>62</v>
      </c>
      <c r="R53" s="459">
        <f t="shared" si="8"/>
        <v>22</v>
      </c>
      <c r="S53" s="378">
        <f t="shared" si="4"/>
        <v>0.65</v>
      </c>
    </row>
    <row r="54" spans="1:19" ht="25.5" customHeight="1">
      <c r="A54" s="430" t="s">
        <v>116</v>
      </c>
      <c r="B54" s="435" t="s">
        <v>490</v>
      </c>
      <c r="C54" s="459">
        <f t="shared" si="2"/>
        <v>190</v>
      </c>
      <c r="D54" s="508">
        <v>111</v>
      </c>
      <c r="E54" s="508">
        <v>79</v>
      </c>
      <c r="F54" s="508">
        <v>0</v>
      </c>
      <c r="G54" s="508">
        <v>0</v>
      </c>
      <c r="H54" s="468">
        <f t="shared" si="5"/>
        <v>190</v>
      </c>
      <c r="I54" s="468">
        <f t="shared" si="6"/>
        <v>143</v>
      </c>
      <c r="J54" s="508">
        <v>70</v>
      </c>
      <c r="K54" s="508">
        <v>5</v>
      </c>
      <c r="L54" s="478">
        <f t="shared" si="7"/>
        <v>68</v>
      </c>
      <c r="M54" s="512">
        <v>0</v>
      </c>
      <c r="N54" s="512">
        <v>0</v>
      </c>
      <c r="O54" s="512">
        <f>'[8]Về việc chủ động Mau 01.THA'!C62+'[8]Về việc theo đơn Mau 02.THA1'!C62</f>
        <v>0</v>
      </c>
      <c r="P54" s="513">
        <v>0</v>
      </c>
      <c r="Q54" s="514">
        <v>47</v>
      </c>
      <c r="R54" s="459">
        <f t="shared" si="8"/>
        <v>115</v>
      </c>
      <c r="S54" s="378">
        <f t="shared" si="4"/>
        <v>0.5244755244755245</v>
      </c>
    </row>
    <row r="55" spans="1:19" ht="25.5" customHeight="1">
      <c r="A55" s="430" t="s">
        <v>117</v>
      </c>
      <c r="B55" s="436" t="s">
        <v>491</v>
      </c>
      <c r="C55" s="459">
        <f t="shared" si="2"/>
        <v>113</v>
      </c>
      <c r="D55" s="508">
        <v>62</v>
      </c>
      <c r="E55" s="508">
        <v>51</v>
      </c>
      <c r="F55" s="508">
        <v>0</v>
      </c>
      <c r="G55" s="508">
        <v>0</v>
      </c>
      <c r="H55" s="468">
        <f t="shared" si="5"/>
        <v>113</v>
      </c>
      <c r="I55" s="468">
        <f t="shared" si="6"/>
        <v>86</v>
      </c>
      <c r="J55" s="508">
        <v>14</v>
      </c>
      <c r="K55" s="508">
        <v>4</v>
      </c>
      <c r="L55" s="478">
        <f t="shared" si="7"/>
        <v>68</v>
      </c>
      <c r="M55" s="509" t="s">
        <v>445</v>
      </c>
      <c r="N55" s="509" t="s">
        <v>445</v>
      </c>
      <c r="O55" s="509" t="s">
        <v>445</v>
      </c>
      <c r="P55" s="510" t="s">
        <v>445</v>
      </c>
      <c r="Q55" s="511" t="s">
        <v>575</v>
      </c>
      <c r="R55" s="459">
        <f t="shared" si="8"/>
        <v>95</v>
      </c>
      <c r="S55" s="378">
        <f t="shared" si="4"/>
        <v>0.20930232558139536</v>
      </c>
    </row>
    <row r="56" spans="1:19" ht="25.5" customHeight="1">
      <c r="A56" s="430" t="s">
        <v>118</v>
      </c>
      <c r="B56" s="436" t="s">
        <v>492</v>
      </c>
      <c r="C56" s="459">
        <f t="shared" si="2"/>
        <v>177</v>
      </c>
      <c r="D56" s="509" t="s">
        <v>570</v>
      </c>
      <c r="E56" s="509" t="s">
        <v>580</v>
      </c>
      <c r="F56" s="509" t="s">
        <v>445</v>
      </c>
      <c r="G56" s="509" t="s">
        <v>445</v>
      </c>
      <c r="H56" s="468">
        <f t="shared" si="5"/>
        <v>177</v>
      </c>
      <c r="I56" s="468">
        <f t="shared" si="6"/>
        <v>158</v>
      </c>
      <c r="J56" s="509" t="s">
        <v>581</v>
      </c>
      <c r="K56" s="509" t="s">
        <v>49</v>
      </c>
      <c r="L56" s="478">
        <f t="shared" si="7"/>
        <v>69</v>
      </c>
      <c r="M56" s="509" t="s">
        <v>445</v>
      </c>
      <c r="N56" s="509" t="s">
        <v>445</v>
      </c>
      <c r="O56" s="509" t="s">
        <v>445</v>
      </c>
      <c r="P56" s="510" t="s">
        <v>445</v>
      </c>
      <c r="Q56" s="511" t="s">
        <v>576</v>
      </c>
      <c r="R56" s="459">
        <f t="shared" si="8"/>
        <v>88</v>
      </c>
      <c r="S56" s="378">
        <f t="shared" si="4"/>
        <v>0.5632911392405063</v>
      </c>
    </row>
    <row r="57" spans="1:19" ht="25.5" customHeight="1">
      <c r="A57" s="432" t="s">
        <v>59</v>
      </c>
      <c r="B57" s="433" t="s">
        <v>493</v>
      </c>
      <c r="C57" s="459">
        <f t="shared" si="2"/>
        <v>1320</v>
      </c>
      <c r="D57" s="468">
        <f>D58+D59+D60+D61+D62+D63+D64</f>
        <v>955</v>
      </c>
      <c r="E57" s="468">
        <f aca="true" t="shared" si="15" ref="E57:Q57">E58+E59+E60+E61+E62+E63+E64</f>
        <v>365</v>
      </c>
      <c r="F57" s="468">
        <f t="shared" si="15"/>
        <v>4</v>
      </c>
      <c r="G57" s="468">
        <f t="shared" si="15"/>
        <v>0</v>
      </c>
      <c r="H57" s="468">
        <f>C57-F57</f>
        <v>1316</v>
      </c>
      <c r="I57" s="468">
        <f t="shared" si="6"/>
        <v>833</v>
      </c>
      <c r="J57" s="468">
        <f t="shared" si="15"/>
        <v>301</v>
      </c>
      <c r="K57" s="468">
        <f t="shared" si="15"/>
        <v>22</v>
      </c>
      <c r="L57" s="468">
        <f t="shared" si="15"/>
        <v>496</v>
      </c>
      <c r="M57" s="468">
        <f t="shared" si="15"/>
        <v>12</v>
      </c>
      <c r="N57" s="468">
        <f t="shared" si="15"/>
        <v>2</v>
      </c>
      <c r="O57" s="468">
        <f t="shared" si="15"/>
        <v>0</v>
      </c>
      <c r="P57" s="468">
        <f t="shared" si="15"/>
        <v>0</v>
      </c>
      <c r="Q57" s="468">
        <f t="shared" si="15"/>
        <v>483</v>
      </c>
      <c r="R57" s="459">
        <f t="shared" si="8"/>
        <v>993</v>
      </c>
      <c r="S57" s="378">
        <f t="shared" si="4"/>
        <v>0.3877551020408163</v>
      </c>
    </row>
    <row r="58" spans="1:19" ht="25.5" customHeight="1">
      <c r="A58" s="430" t="s">
        <v>119</v>
      </c>
      <c r="B58" s="435" t="s">
        <v>458</v>
      </c>
      <c r="C58" s="459">
        <f t="shared" si="2"/>
        <v>245</v>
      </c>
      <c r="D58" s="515">
        <v>164</v>
      </c>
      <c r="E58" s="507">
        <v>81</v>
      </c>
      <c r="F58" s="507"/>
      <c r="G58" s="507"/>
      <c r="H58" s="468">
        <f aca="true" t="shared" si="16" ref="H58:H64">C58-F58</f>
        <v>245</v>
      </c>
      <c r="I58" s="468">
        <f t="shared" si="6"/>
        <v>148</v>
      </c>
      <c r="J58" s="508">
        <v>70</v>
      </c>
      <c r="K58" s="508">
        <v>5</v>
      </c>
      <c r="L58" s="478">
        <f t="shared" si="7"/>
        <v>72</v>
      </c>
      <c r="M58" s="508"/>
      <c r="N58" s="508">
        <v>1</v>
      </c>
      <c r="O58" s="508">
        <v>0</v>
      </c>
      <c r="P58" s="516"/>
      <c r="Q58" s="478">
        <v>97</v>
      </c>
      <c r="R58" s="459">
        <f t="shared" si="8"/>
        <v>170</v>
      </c>
      <c r="S58" s="378">
        <f t="shared" si="4"/>
        <v>0.5067567567567568</v>
      </c>
    </row>
    <row r="59" spans="1:19" ht="25.5" customHeight="1">
      <c r="A59" s="430" t="s">
        <v>120</v>
      </c>
      <c r="B59" s="435" t="s">
        <v>494</v>
      </c>
      <c r="C59" s="459">
        <f t="shared" si="2"/>
        <v>249</v>
      </c>
      <c r="D59" s="515">
        <v>194</v>
      </c>
      <c r="E59" s="507">
        <v>55</v>
      </c>
      <c r="F59" s="507"/>
      <c r="G59" s="507"/>
      <c r="H59" s="468">
        <f t="shared" si="16"/>
        <v>249</v>
      </c>
      <c r="I59" s="468">
        <f t="shared" si="6"/>
        <v>161</v>
      </c>
      <c r="J59" s="508">
        <v>46</v>
      </c>
      <c r="K59" s="508">
        <v>2</v>
      </c>
      <c r="L59" s="478">
        <f t="shared" si="7"/>
        <v>113</v>
      </c>
      <c r="M59" s="508"/>
      <c r="N59" s="508">
        <v>0</v>
      </c>
      <c r="O59" s="508"/>
      <c r="P59" s="516"/>
      <c r="Q59" s="478">
        <v>88</v>
      </c>
      <c r="R59" s="459">
        <f t="shared" si="8"/>
        <v>201</v>
      </c>
      <c r="S59" s="378">
        <f t="shared" si="4"/>
        <v>0.2981366459627329</v>
      </c>
    </row>
    <row r="60" spans="1:19" ht="25.5" customHeight="1">
      <c r="A60" s="430" t="s">
        <v>121</v>
      </c>
      <c r="B60" s="435" t="s">
        <v>495</v>
      </c>
      <c r="C60" s="459">
        <f t="shared" si="2"/>
        <v>229</v>
      </c>
      <c r="D60" s="515">
        <v>170</v>
      </c>
      <c r="E60" s="507">
        <v>59</v>
      </c>
      <c r="F60" s="507"/>
      <c r="G60" s="507"/>
      <c r="H60" s="468">
        <f t="shared" si="16"/>
        <v>229</v>
      </c>
      <c r="I60" s="468">
        <f t="shared" si="6"/>
        <v>129</v>
      </c>
      <c r="J60" s="508">
        <v>49</v>
      </c>
      <c r="K60" s="508">
        <v>4</v>
      </c>
      <c r="L60" s="478">
        <f t="shared" si="7"/>
        <v>75</v>
      </c>
      <c r="M60" s="508"/>
      <c r="N60" s="508">
        <v>1</v>
      </c>
      <c r="O60" s="508">
        <v>0</v>
      </c>
      <c r="P60" s="516">
        <v>0</v>
      </c>
      <c r="Q60" s="478">
        <v>100</v>
      </c>
      <c r="R60" s="459">
        <f t="shared" si="8"/>
        <v>176</v>
      </c>
      <c r="S60" s="378">
        <f t="shared" si="4"/>
        <v>0.4108527131782946</v>
      </c>
    </row>
    <row r="61" spans="1:19" ht="25.5" customHeight="1">
      <c r="A61" s="430" t="s">
        <v>496</v>
      </c>
      <c r="B61" s="435" t="s">
        <v>497</v>
      </c>
      <c r="C61" s="459">
        <f t="shared" si="2"/>
        <v>127</v>
      </c>
      <c r="D61" s="515">
        <v>88</v>
      </c>
      <c r="E61" s="507">
        <v>39</v>
      </c>
      <c r="F61" s="507">
        <v>1</v>
      </c>
      <c r="G61" s="507"/>
      <c r="H61" s="468">
        <f t="shared" si="16"/>
        <v>126</v>
      </c>
      <c r="I61" s="468">
        <f t="shared" si="6"/>
        <v>80</v>
      </c>
      <c r="J61" s="508">
        <v>37</v>
      </c>
      <c r="K61" s="508">
        <v>4</v>
      </c>
      <c r="L61" s="478">
        <f t="shared" si="7"/>
        <v>39</v>
      </c>
      <c r="M61" s="508"/>
      <c r="N61" s="508">
        <v>0</v>
      </c>
      <c r="O61" s="508">
        <v>0</v>
      </c>
      <c r="P61" s="516">
        <v>0</v>
      </c>
      <c r="Q61" s="478">
        <v>46</v>
      </c>
      <c r="R61" s="459">
        <f t="shared" si="8"/>
        <v>85</v>
      </c>
      <c r="S61" s="378">
        <f t="shared" si="4"/>
        <v>0.5125</v>
      </c>
    </row>
    <row r="62" spans="1:19" ht="25.5" customHeight="1">
      <c r="A62" s="430" t="s">
        <v>498</v>
      </c>
      <c r="B62" s="435" t="s">
        <v>499</v>
      </c>
      <c r="C62" s="459">
        <f t="shared" si="2"/>
        <v>159</v>
      </c>
      <c r="D62" s="515">
        <v>125</v>
      </c>
      <c r="E62" s="507">
        <v>34</v>
      </c>
      <c r="F62" s="507">
        <v>2</v>
      </c>
      <c r="G62" s="507"/>
      <c r="H62" s="468">
        <f t="shared" si="16"/>
        <v>157</v>
      </c>
      <c r="I62" s="468">
        <f t="shared" si="6"/>
        <v>103</v>
      </c>
      <c r="J62" s="508">
        <v>24</v>
      </c>
      <c r="K62" s="508">
        <v>2</v>
      </c>
      <c r="L62" s="478">
        <f t="shared" si="7"/>
        <v>69</v>
      </c>
      <c r="M62" s="508">
        <v>8</v>
      </c>
      <c r="N62" s="508">
        <v>0</v>
      </c>
      <c r="O62" s="508"/>
      <c r="P62" s="516"/>
      <c r="Q62" s="478">
        <v>54</v>
      </c>
      <c r="R62" s="459">
        <f t="shared" si="8"/>
        <v>131</v>
      </c>
      <c r="S62" s="378">
        <f t="shared" si="4"/>
        <v>0.2524271844660194</v>
      </c>
    </row>
    <row r="63" spans="1:19" ht="25.5" customHeight="1">
      <c r="A63" s="430" t="s">
        <v>500</v>
      </c>
      <c r="B63" s="435" t="s">
        <v>501</v>
      </c>
      <c r="C63" s="459">
        <f t="shared" si="2"/>
        <v>204</v>
      </c>
      <c r="D63" s="515">
        <v>145</v>
      </c>
      <c r="E63" s="507">
        <v>59</v>
      </c>
      <c r="F63" s="507"/>
      <c r="G63" s="507"/>
      <c r="H63" s="468">
        <f t="shared" si="16"/>
        <v>204</v>
      </c>
      <c r="I63" s="468">
        <f t="shared" si="6"/>
        <v>147</v>
      </c>
      <c r="J63" s="508">
        <v>40</v>
      </c>
      <c r="K63" s="508">
        <v>4</v>
      </c>
      <c r="L63" s="478">
        <f t="shared" si="7"/>
        <v>103</v>
      </c>
      <c r="M63" s="508">
        <v>0</v>
      </c>
      <c r="N63" s="508">
        <v>0</v>
      </c>
      <c r="O63" s="508">
        <v>0</v>
      </c>
      <c r="P63" s="516">
        <v>0</v>
      </c>
      <c r="Q63" s="478">
        <v>57</v>
      </c>
      <c r="R63" s="459">
        <f t="shared" si="8"/>
        <v>160</v>
      </c>
      <c r="S63" s="378">
        <f t="shared" si="4"/>
        <v>0.29931972789115646</v>
      </c>
    </row>
    <row r="64" spans="1:19" ht="25.5" customHeight="1" thickBot="1">
      <c r="A64" s="430" t="s">
        <v>502</v>
      </c>
      <c r="B64" s="435" t="s">
        <v>503</v>
      </c>
      <c r="C64" s="459">
        <f t="shared" si="2"/>
        <v>107</v>
      </c>
      <c r="D64" s="517">
        <v>69</v>
      </c>
      <c r="E64" s="518">
        <v>38</v>
      </c>
      <c r="F64" s="518">
        <v>1</v>
      </c>
      <c r="G64" s="518"/>
      <c r="H64" s="468">
        <f t="shared" si="16"/>
        <v>106</v>
      </c>
      <c r="I64" s="468">
        <f t="shared" si="6"/>
        <v>65</v>
      </c>
      <c r="J64" s="508">
        <v>35</v>
      </c>
      <c r="K64" s="508">
        <v>1</v>
      </c>
      <c r="L64" s="478">
        <f t="shared" si="7"/>
        <v>25</v>
      </c>
      <c r="M64" s="508">
        <v>4</v>
      </c>
      <c r="N64" s="508">
        <v>0</v>
      </c>
      <c r="O64" s="508">
        <v>0</v>
      </c>
      <c r="P64" s="516">
        <v>0</v>
      </c>
      <c r="Q64" s="478">
        <v>41</v>
      </c>
      <c r="R64" s="459">
        <f t="shared" si="8"/>
        <v>70</v>
      </c>
      <c r="S64" s="378">
        <f t="shared" si="4"/>
        <v>0.5538461538461539</v>
      </c>
    </row>
    <row r="65" spans="1:19" ht="25.5" customHeight="1" thickTop="1">
      <c r="A65" s="432" t="s">
        <v>60</v>
      </c>
      <c r="B65" s="433" t="s">
        <v>504</v>
      </c>
      <c r="C65" s="459">
        <f t="shared" si="2"/>
        <v>898</v>
      </c>
      <c r="D65" s="468">
        <f>D66+D67+D68+D69+D70</f>
        <v>606</v>
      </c>
      <c r="E65" s="468">
        <f aca="true" t="shared" si="17" ref="E65:R65">E66+E67+E68+E69+E70</f>
        <v>292</v>
      </c>
      <c r="F65" s="468">
        <f t="shared" si="17"/>
        <v>2</v>
      </c>
      <c r="G65" s="468">
        <f t="shared" si="17"/>
        <v>0</v>
      </c>
      <c r="H65" s="468">
        <f t="shared" si="17"/>
        <v>896</v>
      </c>
      <c r="I65" s="468">
        <f t="shared" si="17"/>
        <v>617</v>
      </c>
      <c r="J65" s="468">
        <f t="shared" si="17"/>
        <v>170</v>
      </c>
      <c r="K65" s="468">
        <f t="shared" si="17"/>
        <v>13</v>
      </c>
      <c r="L65" s="468">
        <f t="shared" si="17"/>
        <v>429</v>
      </c>
      <c r="M65" s="468">
        <f t="shared" si="17"/>
        <v>0</v>
      </c>
      <c r="N65" s="468">
        <f t="shared" si="17"/>
        <v>1</v>
      </c>
      <c r="O65" s="468">
        <f t="shared" si="17"/>
        <v>4</v>
      </c>
      <c r="P65" s="468">
        <f t="shared" si="17"/>
        <v>0</v>
      </c>
      <c r="Q65" s="468">
        <f t="shared" si="17"/>
        <v>279</v>
      </c>
      <c r="R65" s="468">
        <f t="shared" si="17"/>
        <v>713</v>
      </c>
      <c r="S65" s="378">
        <f t="shared" si="4"/>
        <v>0.2965964343598055</v>
      </c>
    </row>
    <row r="66" spans="1:19" ht="25.5" customHeight="1">
      <c r="A66" s="430" t="s">
        <v>505</v>
      </c>
      <c r="B66" s="437" t="s">
        <v>566</v>
      </c>
      <c r="C66" s="459">
        <f t="shared" si="2"/>
        <v>70</v>
      </c>
      <c r="D66" s="519">
        <v>64</v>
      </c>
      <c r="E66" s="520">
        <v>6</v>
      </c>
      <c r="F66" s="520"/>
      <c r="G66" s="520"/>
      <c r="H66" s="468">
        <f t="shared" si="5"/>
        <v>70</v>
      </c>
      <c r="I66" s="468">
        <f t="shared" si="6"/>
        <v>70</v>
      </c>
      <c r="J66" s="520">
        <v>14</v>
      </c>
      <c r="K66" s="520">
        <v>1</v>
      </c>
      <c r="L66" s="478">
        <f t="shared" si="7"/>
        <v>55</v>
      </c>
      <c r="M66" s="520"/>
      <c r="N66" s="520"/>
      <c r="O66" s="520"/>
      <c r="P66" s="520"/>
      <c r="Q66" s="520"/>
      <c r="R66" s="459">
        <f t="shared" si="8"/>
        <v>55</v>
      </c>
      <c r="S66" s="378">
        <f t="shared" si="4"/>
        <v>0.21428571428571427</v>
      </c>
    </row>
    <row r="67" spans="1:19" ht="25.5" customHeight="1">
      <c r="A67" s="430" t="s">
        <v>506</v>
      </c>
      <c r="B67" s="437" t="s">
        <v>565</v>
      </c>
      <c r="C67" s="459">
        <f t="shared" si="2"/>
        <v>75</v>
      </c>
      <c r="D67" s="519">
        <v>65</v>
      </c>
      <c r="E67" s="521">
        <v>10</v>
      </c>
      <c r="F67" s="521"/>
      <c r="G67" s="521"/>
      <c r="H67" s="468">
        <f t="shared" si="5"/>
        <v>75</v>
      </c>
      <c r="I67" s="468">
        <f t="shared" si="6"/>
        <v>75</v>
      </c>
      <c r="J67" s="521">
        <v>17</v>
      </c>
      <c r="K67" s="521">
        <v>1</v>
      </c>
      <c r="L67" s="478">
        <f t="shared" si="7"/>
        <v>57</v>
      </c>
      <c r="M67" s="521"/>
      <c r="N67" s="521"/>
      <c r="O67" s="521"/>
      <c r="P67" s="521"/>
      <c r="Q67" s="521"/>
      <c r="R67" s="459">
        <f t="shared" si="8"/>
        <v>57</v>
      </c>
      <c r="S67" s="378">
        <f t="shared" si="4"/>
        <v>0.24</v>
      </c>
    </row>
    <row r="68" spans="1:19" ht="25.5" customHeight="1">
      <c r="A68" s="430" t="s">
        <v>582</v>
      </c>
      <c r="B68" s="464" t="s">
        <v>507</v>
      </c>
      <c r="C68" s="459">
        <f t="shared" si="2"/>
        <v>331</v>
      </c>
      <c r="D68" s="522">
        <v>225</v>
      </c>
      <c r="E68" s="521">
        <v>106</v>
      </c>
      <c r="F68" s="521">
        <v>2</v>
      </c>
      <c r="G68" s="521"/>
      <c r="H68" s="468">
        <f t="shared" si="5"/>
        <v>329</v>
      </c>
      <c r="I68" s="468">
        <f t="shared" si="6"/>
        <v>233</v>
      </c>
      <c r="J68" s="521">
        <v>55</v>
      </c>
      <c r="K68" s="521">
        <v>5</v>
      </c>
      <c r="L68" s="478">
        <f t="shared" si="7"/>
        <v>171</v>
      </c>
      <c r="M68" s="521"/>
      <c r="N68" s="521"/>
      <c r="O68" s="521">
        <v>2</v>
      </c>
      <c r="P68" s="521"/>
      <c r="Q68" s="521">
        <v>96</v>
      </c>
      <c r="R68" s="459">
        <f t="shared" si="8"/>
        <v>269</v>
      </c>
      <c r="S68" s="378">
        <f t="shared" si="4"/>
        <v>0.2575107296137339</v>
      </c>
    </row>
    <row r="69" spans="1:19" ht="25.5" customHeight="1">
      <c r="A69" s="430" t="s">
        <v>583</v>
      </c>
      <c r="B69" s="464" t="s">
        <v>508</v>
      </c>
      <c r="C69" s="459">
        <f t="shared" si="2"/>
        <v>148</v>
      </c>
      <c r="D69" s="522">
        <v>93</v>
      </c>
      <c r="E69" s="521">
        <v>55</v>
      </c>
      <c r="F69" s="521"/>
      <c r="G69" s="521"/>
      <c r="H69" s="468">
        <f t="shared" si="5"/>
        <v>148</v>
      </c>
      <c r="I69" s="468">
        <f t="shared" si="6"/>
        <v>71</v>
      </c>
      <c r="J69" s="521">
        <v>30</v>
      </c>
      <c r="K69" s="521">
        <v>2</v>
      </c>
      <c r="L69" s="478">
        <f t="shared" si="7"/>
        <v>39</v>
      </c>
      <c r="M69" s="521"/>
      <c r="N69" s="521"/>
      <c r="O69" s="521"/>
      <c r="P69" s="521"/>
      <c r="Q69" s="521">
        <v>77</v>
      </c>
      <c r="R69" s="459">
        <f t="shared" si="8"/>
        <v>116</v>
      </c>
      <c r="S69" s="378">
        <f t="shared" si="4"/>
        <v>0.4507042253521127</v>
      </c>
    </row>
    <row r="70" spans="1:19" ht="25.5" customHeight="1">
      <c r="A70" s="430" t="s">
        <v>509</v>
      </c>
      <c r="B70" s="464" t="s">
        <v>510</v>
      </c>
      <c r="C70" s="459">
        <f t="shared" si="2"/>
        <v>274</v>
      </c>
      <c r="D70" s="522">
        <v>159</v>
      </c>
      <c r="E70" s="520">
        <v>115</v>
      </c>
      <c r="F70" s="520"/>
      <c r="G70" s="520"/>
      <c r="H70" s="468">
        <f t="shared" si="5"/>
        <v>274</v>
      </c>
      <c r="I70" s="468">
        <f t="shared" si="6"/>
        <v>168</v>
      </c>
      <c r="J70" s="520">
        <v>54</v>
      </c>
      <c r="K70" s="520">
        <v>4</v>
      </c>
      <c r="L70" s="478">
        <f t="shared" si="7"/>
        <v>107</v>
      </c>
      <c r="M70" s="520"/>
      <c r="N70" s="520">
        <v>1</v>
      </c>
      <c r="O70" s="520">
        <v>2</v>
      </c>
      <c r="P70" s="523"/>
      <c r="Q70" s="524">
        <v>106</v>
      </c>
      <c r="R70" s="459">
        <f t="shared" si="8"/>
        <v>216</v>
      </c>
      <c r="S70" s="378">
        <f t="shared" si="4"/>
        <v>0.34523809523809523</v>
      </c>
    </row>
    <row r="71" spans="1:19" ht="25.5" customHeight="1">
      <c r="A71" s="432" t="s">
        <v>61</v>
      </c>
      <c r="B71" s="433" t="s">
        <v>511</v>
      </c>
      <c r="C71" s="459">
        <f t="shared" si="2"/>
        <v>162</v>
      </c>
      <c r="D71" s="468">
        <f>D72+D73+D74</f>
        <v>77</v>
      </c>
      <c r="E71" s="468">
        <f aca="true" t="shared" si="18" ref="E71:R71">E72+E73+E74</f>
        <v>85</v>
      </c>
      <c r="F71" s="468">
        <f t="shared" si="18"/>
        <v>0</v>
      </c>
      <c r="G71" s="468">
        <f t="shared" si="18"/>
        <v>0</v>
      </c>
      <c r="H71" s="468">
        <f t="shared" si="5"/>
        <v>162</v>
      </c>
      <c r="I71" s="468">
        <f t="shared" si="18"/>
        <v>141</v>
      </c>
      <c r="J71" s="468">
        <f t="shared" si="18"/>
        <v>56</v>
      </c>
      <c r="K71" s="468">
        <f t="shared" si="18"/>
        <v>0</v>
      </c>
      <c r="L71" s="468">
        <f t="shared" si="18"/>
        <v>85</v>
      </c>
      <c r="M71" s="468">
        <f t="shared" si="18"/>
        <v>0</v>
      </c>
      <c r="N71" s="468">
        <f t="shared" si="18"/>
        <v>0</v>
      </c>
      <c r="O71" s="468">
        <f t="shared" si="18"/>
        <v>0</v>
      </c>
      <c r="P71" s="468">
        <f t="shared" si="18"/>
        <v>0</v>
      </c>
      <c r="Q71" s="468">
        <f t="shared" si="18"/>
        <v>21</v>
      </c>
      <c r="R71" s="459">
        <f t="shared" si="18"/>
        <v>106</v>
      </c>
      <c r="S71" s="378">
        <f t="shared" si="4"/>
        <v>0.3971631205673759</v>
      </c>
    </row>
    <row r="72" spans="1:19" ht="25.5" customHeight="1">
      <c r="A72" s="430" t="s">
        <v>512</v>
      </c>
      <c r="B72" s="437" t="s">
        <v>513</v>
      </c>
      <c r="C72" s="459">
        <f t="shared" si="2"/>
        <v>63</v>
      </c>
      <c r="D72" s="486">
        <v>29</v>
      </c>
      <c r="E72" s="486">
        <v>34</v>
      </c>
      <c r="F72" s="486"/>
      <c r="G72" s="486"/>
      <c r="H72" s="468">
        <f t="shared" si="5"/>
        <v>63</v>
      </c>
      <c r="I72" s="468">
        <f t="shared" si="6"/>
        <v>52</v>
      </c>
      <c r="J72" s="486">
        <v>16</v>
      </c>
      <c r="K72" s="486"/>
      <c r="L72" s="478">
        <f t="shared" si="7"/>
        <v>36</v>
      </c>
      <c r="M72" s="486"/>
      <c r="N72" s="486">
        <v>0</v>
      </c>
      <c r="O72" s="486"/>
      <c r="P72" s="486"/>
      <c r="Q72" s="478">
        <v>11</v>
      </c>
      <c r="R72" s="459">
        <f t="shared" si="8"/>
        <v>47</v>
      </c>
      <c r="S72" s="378">
        <f t="shared" si="4"/>
        <v>0.3076923076923077</v>
      </c>
    </row>
    <row r="73" spans="1:19" ht="25.5" customHeight="1">
      <c r="A73" s="430" t="s">
        <v>514</v>
      </c>
      <c r="B73" s="437" t="s">
        <v>515</v>
      </c>
      <c r="C73" s="459">
        <f t="shared" si="2"/>
        <v>99</v>
      </c>
      <c r="D73" s="486">
        <v>48</v>
      </c>
      <c r="E73" s="486">
        <v>51</v>
      </c>
      <c r="F73" s="486"/>
      <c r="G73" s="486"/>
      <c r="H73" s="468">
        <f t="shared" si="5"/>
        <v>99</v>
      </c>
      <c r="I73" s="468">
        <f t="shared" si="6"/>
        <v>89</v>
      </c>
      <c r="J73" s="486">
        <v>40</v>
      </c>
      <c r="K73" s="486"/>
      <c r="L73" s="478">
        <f>I73-J73-K73-M73-N73-O73-P73</f>
        <v>49</v>
      </c>
      <c r="M73" s="486"/>
      <c r="N73" s="486"/>
      <c r="O73" s="486"/>
      <c r="P73" s="486"/>
      <c r="Q73" s="478">
        <v>10</v>
      </c>
      <c r="R73" s="459">
        <f t="shared" si="8"/>
        <v>59</v>
      </c>
      <c r="S73" s="378">
        <f t="shared" si="4"/>
        <v>0.449438202247191</v>
      </c>
    </row>
    <row r="74" spans="1:19" ht="25.5" customHeight="1">
      <c r="A74" s="430"/>
      <c r="B74" s="437"/>
      <c r="C74" s="459">
        <f t="shared" si="2"/>
        <v>0</v>
      </c>
      <c r="D74" s="486">
        <v>0</v>
      </c>
      <c r="E74" s="486"/>
      <c r="F74" s="486"/>
      <c r="G74" s="486"/>
      <c r="H74" s="468">
        <f t="shared" si="5"/>
        <v>0</v>
      </c>
      <c r="I74" s="468">
        <f t="shared" si="6"/>
        <v>0</v>
      </c>
      <c r="J74" s="486"/>
      <c r="K74" s="486"/>
      <c r="L74" s="478">
        <f t="shared" si="7"/>
        <v>0</v>
      </c>
      <c r="M74" s="486">
        <v>0</v>
      </c>
      <c r="N74" s="486"/>
      <c r="O74" s="486"/>
      <c r="P74" s="486"/>
      <c r="Q74" s="478"/>
      <c r="R74" s="459">
        <f t="shared" si="8"/>
        <v>0</v>
      </c>
      <c r="S74" s="378"/>
    </row>
    <row r="75" spans="1:19" ht="25.5" customHeight="1">
      <c r="A75" s="432" t="s">
        <v>62</v>
      </c>
      <c r="B75" s="433" t="s">
        <v>516</v>
      </c>
      <c r="C75" s="459">
        <f t="shared" si="2"/>
        <v>854</v>
      </c>
      <c r="D75" s="468">
        <f>D76+D77+D78+D79+D80+D81</f>
        <v>442</v>
      </c>
      <c r="E75" s="468">
        <f aca="true" t="shared" si="19" ref="E75:R75">E76+E77+E78+E79+E80+E81</f>
        <v>412</v>
      </c>
      <c r="F75" s="468">
        <f t="shared" si="19"/>
        <v>2</v>
      </c>
      <c r="G75" s="468">
        <f t="shared" si="19"/>
        <v>0</v>
      </c>
      <c r="H75" s="468">
        <f t="shared" si="19"/>
        <v>852</v>
      </c>
      <c r="I75" s="468">
        <f t="shared" si="19"/>
        <v>716</v>
      </c>
      <c r="J75" s="468">
        <f t="shared" si="19"/>
        <v>313</v>
      </c>
      <c r="K75" s="468">
        <f t="shared" si="19"/>
        <v>12</v>
      </c>
      <c r="L75" s="468">
        <f t="shared" si="19"/>
        <v>380</v>
      </c>
      <c r="M75" s="468">
        <f t="shared" si="19"/>
        <v>10</v>
      </c>
      <c r="N75" s="468">
        <f t="shared" si="19"/>
        <v>1</v>
      </c>
      <c r="O75" s="468">
        <f t="shared" si="19"/>
        <v>0</v>
      </c>
      <c r="P75" s="468">
        <f t="shared" si="19"/>
        <v>0</v>
      </c>
      <c r="Q75" s="468">
        <f t="shared" si="19"/>
        <v>136</v>
      </c>
      <c r="R75" s="468">
        <f t="shared" si="19"/>
        <v>527</v>
      </c>
      <c r="S75" s="378">
        <f t="shared" si="4"/>
        <v>0.45391061452513964</v>
      </c>
    </row>
    <row r="76" spans="1:19" ht="25.5" customHeight="1">
      <c r="A76" s="430" t="s">
        <v>517</v>
      </c>
      <c r="B76" s="438" t="s">
        <v>518</v>
      </c>
      <c r="C76" s="459">
        <f t="shared" si="2"/>
        <v>104</v>
      </c>
      <c r="D76" s="525">
        <v>0</v>
      </c>
      <c r="E76" s="525">
        <v>104</v>
      </c>
      <c r="F76" s="525">
        <v>0</v>
      </c>
      <c r="G76" s="525">
        <v>0</v>
      </c>
      <c r="H76" s="468">
        <f t="shared" si="5"/>
        <v>104</v>
      </c>
      <c r="I76" s="468">
        <f t="shared" si="6"/>
        <v>104</v>
      </c>
      <c r="J76" s="525">
        <v>102</v>
      </c>
      <c r="K76" s="525">
        <v>0</v>
      </c>
      <c r="L76" s="478">
        <f t="shared" si="7"/>
        <v>2</v>
      </c>
      <c r="M76" s="525">
        <v>0</v>
      </c>
      <c r="N76" s="525">
        <v>0</v>
      </c>
      <c r="O76" s="525">
        <v>0</v>
      </c>
      <c r="P76" s="526">
        <v>0</v>
      </c>
      <c r="Q76" s="527">
        <v>0</v>
      </c>
      <c r="R76" s="459">
        <f t="shared" si="8"/>
        <v>2</v>
      </c>
      <c r="S76" s="378">
        <f t="shared" si="4"/>
        <v>0.9807692307692307</v>
      </c>
    </row>
    <row r="77" spans="1:19" ht="25.5" customHeight="1">
      <c r="A77" s="430" t="s">
        <v>519</v>
      </c>
      <c r="B77" s="438" t="s">
        <v>520</v>
      </c>
      <c r="C77" s="459">
        <f t="shared" si="2"/>
        <v>215</v>
      </c>
      <c r="D77" s="525">
        <v>129</v>
      </c>
      <c r="E77" s="525">
        <v>86</v>
      </c>
      <c r="F77" s="525">
        <v>1</v>
      </c>
      <c r="G77" s="525">
        <v>0</v>
      </c>
      <c r="H77" s="468">
        <f t="shared" si="5"/>
        <v>214</v>
      </c>
      <c r="I77" s="468">
        <f t="shared" si="6"/>
        <v>170</v>
      </c>
      <c r="J77" s="525">
        <v>63</v>
      </c>
      <c r="K77" s="525">
        <v>1</v>
      </c>
      <c r="L77" s="478">
        <f t="shared" si="7"/>
        <v>96</v>
      </c>
      <c r="M77" s="525">
        <v>9</v>
      </c>
      <c r="N77" s="525">
        <v>1</v>
      </c>
      <c r="O77" s="525">
        <v>0</v>
      </c>
      <c r="P77" s="526">
        <v>0</v>
      </c>
      <c r="Q77" s="527">
        <v>44</v>
      </c>
      <c r="R77" s="459">
        <f t="shared" si="8"/>
        <v>150</v>
      </c>
      <c r="S77" s="378">
        <f t="shared" si="4"/>
        <v>0.3764705882352941</v>
      </c>
    </row>
    <row r="78" spans="1:19" ht="25.5" customHeight="1">
      <c r="A78" s="430" t="s">
        <v>521</v>
      </c>
      <c r="B78" s="438" t="s">
        <v>522</v>
      </c>
      <c r="C78" s="459">
        <f t="shared" si="2"/>
        <v>180</v>
      </c>
      <c r="D78" s="525">
        <v>124</v>
      </c>
      <c r="E78" s="525">
        <v>56</v>
      </c>
      <c r="F78" s="525">
        <v>0</v>
      </c>
      <c r="G78" s="525">
        <v>0</v>
      </c>
      <c r="H78" s="468">
        <f t="shared" si="5"/>
        <v>180</v>
      </c>
      <c r="I78" s="468">
        <f t="shared" si="6"/>
        <v>150</v>
      </c>
      <c r="J78" s="525">
        <v>50</v>
      </c>
      <c r="K78" s="525">
        <v>2</v>
      </c>
      <c r="L78" s="478">
        <f t="shared" si="7"/>
        <v>98</v>
      </c>
      <c r="M78" s="525">
        <v>0</v>
      </c>
      <c r="N78" s="525">
        <v>0</v>
      </c>
      <c r="O78" s="525">
        <v>0</v>
      </c>
      <c r="P78" s="526">
        <v>0</v>
      </c>
      <c r="Q78" s="527">
        <v>30</v>
      </c>
      <c r="R78" s="459">
        <f t="shared" si="8"/>
        <v>128</v>
      </c>
      <c r="S78" s="378">
        <f aca="true" t="shared" si="20" ref="S78:S97">(J78+K78)/I78</f>
        <v>0.3466666666666667</v>
      </c>
    </row>
    <row r="79" spans="1:19" ht="25.5" customHeight="1">
      <c r="A79" s="430" t="s">
        <v>523</v>
      </c>
      <c r="B79" s="438" t="s">
        <v>524</v>
      </c>
      <c r="C79" s="459">
        <f t="shared" si="2"/>
        <v>124</v>
      </c>
      <c r="D79" s="525">
        <v>61</v>
      </c>
      <c r="E79" s="525">
        <v>63</v>
      </c>
      <c r="F79" s="525">
        <v>0</v>
      </c>
      <c r="G79" s="525">
        <v>0</v>
      </c>
      <c r="H79" s="468">
        <f t="shared" si="5"/>
        <v>124</v>
      </c>
      <c r="I79" s="468">
        <f t="shared" si="6"/>
        <v>108</v>
      </c>
      <c r="J79" s="525">
        <v>47</v>
      </c>
      <c r="K79" s="525">
        <v>2</v>
      </c>
      <c r="L79" s="478">
        <f t="shared" si="7"/>
        <v>58</v>
      </c>
      <c r="M79" s="525">
        <v>1</v>
      </c>
      <c r="N79" s="525">
        <v>0</v>
      </c>
      <c r="O79" s="525">
        <v>0</v>
      </c>
      <c r="P79" s="526">
        <v>0</v>
      </c>
      <c r="Q79" s="527">
        <v>16</v>
      </c>
      <c r="R79" s="459">
        <f t="shared" si="8"/>
        <v>75</v>
      </c>
      <c r="S79" s="378">
        <f t="shared" si="20"/>
        <v>0.4537037037037037</v>
      </c>
    </row>
    <row r="80" spans="1:19" ht="25.5" customHeight="1">
      <c r="A80" s="430" t="s">
        <v>525</v>
      </c>
      <c r="B80" s="438" t="s">
        <v>526</v>
      </c>
      <c r="C80" s="459">
        <f t="shared" si="2"/>
        <v>217</v>
      </c>
      <c r="D80" s="525">
        <v>127</v>
      </c>
      <c r="E80" s="525">
        <v>90</v>
      </c>
      <c r="F80" s="525">
        <v>1</v>
      </c>
      <c r="G80" s="525">
        <v>0</v>
      </c>
      <c r="H80" s="468">
        <f aca="true" t="shared" si="21" ref="H80:H97">C80-F80</f>
        <v>216</v>
      </c>
      <c r="I80" s="468">
        <f t="shared" si="6"/>
        <v>171</v>
      </c>
      <c r="J80" s="525">
        <v>38</v>
      </c>
      <c r="K80" s="525">
        <v>7</v>
      </c>
      <c r="L80" s="478">
        <f aca="true" t="shared" si="22" ref="L80:L97">I80-J80-K80-M80-N80-O80-P80</f>
        <v>126</v>
      </c>
      <c r="M80" s="525">
        <v>0</v>
      </c>
      <c r="N80" s="525"/>
      <c r="O80" s="525">
        <v>0</v>
      </c>
      <c r="P80" s="526">
        <v>0</v>
      </c>
      <c r="Q80" s="527">
        <v>45</v>
      </c>
      <c r="R80" s="459">
        <f t="shared" si="8"/>
        <v>171</v>
      </c>
      <c r="S80" s="378">
        <f t="shared" si="20"/>
        <v>0.2631578947368421</v>
      </c>
    </row>
    <row r="81" spans="1:19" ht="25.5" customHeight="1">
      <c r="A81" s="430" t="s">
        <v>567</v>
      </c>
      <c r="B81" s="438" t="s">
        <v>564</v>
      </c>
      <c r="C81" s="459">
        <f t="shared" si="2"/>
        <v>14</v>
      </c>
      <c r="D81" s="528">
        <v>1</v>
      </c>
      <c r="E81" s="528">
        <v>13</v>
      </c>
      <c r="F81" s="528">
        <v>0</v>
      </c>
      <c r="G81" s="528">
        <v>0</v>
      </c>
      <c r="H81" s="468">
        <f t="shared" si="21"/>
        <v>14</v>
      </c>
      <c r="I81" s="468">
        <f t="shared" si="6"/>
        <v>13</v>
      </c>
      <c r="J81" s="528">
        <v>13</v>
      </c>
      <c r="K81" s="528">
        <v>0</v>
      </c>
      <c r="L81" s="478">
        <f t="shared" si="22"/>
        <v>0</v>
      </c>
      <c r="M81" s="528">
        <v>0</v>
      </c>
      <c r="N81" s="528">
        <v>0</v>
      </c>
      <c r="O81" s="528">
        <v>0</v>
      </c>
      <c r="P81" s="528">
        <v>0</v>
      </c>
      <c r="Q81" s="528">
        <v>1</v>
      </c>
      <c r="R81" s="459">
        <f t="shared" si="8"/>
        <v>1</v>
      </c>
      <c r="S81" s="378">
        <f t="shared" si="20"/>
        <v>1</v>
      </c>
    </row>
    <row r="82" spans="1:19" ht="25.5" customHeight="1">
      <c r="A82" s="432" t="s">
        <v>63</v>
      </c>
      <c r="B82" s="433" t="s">
        <v>527</v>
      </c>
      <c r="C82" s="459">
        <f t="shared" si="2"/>
        <v>683</v>
      </c>
      <c r="D82" s="468">
        <f>D83+D84+D85+D86</f>
        <v>410</v>
      </c>
      <c r="E82" s="468">
        <f aca="true" t="shared" si="23" ref="E82:Q82">E83+E84+E85+E86</f>
        <v>273</v>
      </c>
      <c r="F82" s="468">
        <f t="shared" si="23"/>
        <v>7</v>
      </c>
      <c r="G82" s="468">
        <f t="shared" si="23"/>
        <v>0</v>
      </c>
      <c r="H82" s="468">
        <f t="shared" si="21"/>
        <v>676</v>
      </c>
      <c r="I82" s="468">
        <f t="shared" si="6"/>
        <v>548</v>
      </c>
      <c r="J82" s="468">
        <f t="shared" si="23"/>
        <v>156</v>
      </c>
      <c r="K82" s="468">
        <f t="shared" si="23"/>
        <v>2</v>
      </c>
      <c r="L82" s="529">
        <f t="shared" si="22"/>
        <v>383</v>
      </c>
      <c r="M82" s="468">
        <f t="shared" si="23"/>
        <v>3</v>
      </c>
      <c r="N82" s="468">
        <f t="shared" si="23"/>
        <v>4</v>
      </c>
      <c r="O82" s="468">
        <f t="shared" si="23"/>
        <v>0</v>
      </c>
      <c r="P82" s="468">
        <f t="shared" si="23"/>
        <v>0</v>
      </c>
      <c r="Q82" s="468">
        <f t="shared" si="23"/>
        <v>128</v>
      </c>
      <c r="R82" s="459">
        <f t="shared" si="8"/>
        <v>518</v>
      </c>
      <c r="S82" s="378">
        <f t="shared" si="20"/>
        <v>0.28832116788321166</v>
      </c>
    </row>
    <row r="83" spans="1:19" ht="25.5" customHeight="1">
      <c r="A83" s="430" t="s">
        <v>528</v>
      </c>
      <c r="B83" s="439" t="s">
        <v>529</v>
      </c>
      <c r="C83" s="459">
        <f t="shared" si="2"/>
        <v>9</v>
      </c>
      <c r="D83" s="508">
        <v>0</v>
      </c>
      <c r="E83" s="508">
        <v>9</v>
      </c>
      <c r="F83" s="508">
        <v>0</v>
      </c>
      <c r="G83" s="508">
        <v>0</v>
      </c>
      <c r="H83" s="468">
        <f t="shared" si="21"/>
        <v>9</v>
      </c>
      <c r="I83" s="468">
        <f t="shared" si="6"/>
        <v>9</v>
      </c>
      <c r="J83" s="508">
        <v>9</v>
      </c>
      <c r="K83" s="508">
        <v>0</v>
      </c>
      <c r="L83" s="478">
        <f t="shared" si="22"/>
        <v>0</v>
      </c>
      <c r="M83" s="508">
        <v>0</v>
      </c>
      <c r="N83" s="508">
        <v>0</v>
      </c>
      <c r="O83" s="508">
        <v>0</v>
      </c>
      <c r="P83" s="530">
        <v>0</v>
      </c>
      <c r="Q83" s="531">
        <v>0</v>
      </c>
      <c r="R83" s="459">
        <f t="shared" si="8"/>
        <v>0</v>
      </c>
      <c r="S83" s="378">
        <f t="shared" si="20"/>
        <v>1</v>
      </c>
    </row>
    <row r="84" spans="1:19" ht="25.5" customHeight="1">
      <c r="A84" s="430" t="s">
        <v>530</v>
      </c>
      <c r="B84" s="439" t="s">
        <v>531</v>
      </c>
      <c r="C84" s="459">
        <f t="shared" si="2"/>
        <v>152</v>
      </c>
      <c r="D84" s="508">
        <f>45+47</f>
        <v>92</v>
      </c>
      <c r="E84" s="508">
        <f>42+18</f>
        <v>60</v>
      </c>
      <c r="F84" s="508">
        <v>0</v>
      </c>
      <c r="G84" s="508">
        <v>0</v>
      </c>
      <c r="H84" s="468">
        <f t="shared" si="21"/>
        <v>152</v>
      </c>
      <c r="I84" s="468">
        <f t="shared" si="6"/>
        <v>119</v>
      </c>
      <c r="J84" s="508">
        <f>33+2+7</f>
        <v>42</v>
      </c>
      <c r="K84" s="508">
        <v>0</v>
      </c>
      <c r="L84" s="478">
        <f t="shared" si="22"/>
        <v>75</v>
      </c>
      <c r="M84" s="508">
        <v>0</v>
      </c>
      <c r="N84" s="508">
        <v>2</v>
      </c>
      <c r="O84" s="508">
        <v>0</v>
      </c>
      <c r="P84" s="530">
        <v>0</v>
      </c>
      <c r="Q84" s="531">
        <v>33</v>
      </c>
      <c r="R84" s="459">
        <f t="shared" si="8"/>
        <v>110</v>
      </c>
      <c r="S84" s="378">
        <f t="shared" si="20"/>
        <v>0.35294117647058826</v>
      </c>
    </row>
    <row r="85" spans="1:19" ht="25.5" customHeight="1">
      <c r="A85" s="430" t="s">
        <v>532</v>
      </c>
      <c r="B85" s="439" t="s">
        <v>474</v>
      </c>
      <c r="C85" s="459">
        <f t="shared" si="2"/>
        <v>201</v>
      </c>
      <c r="D85" s="508">
        <f>64+48</f>
        <v>112</v>
      </c>
      <c r="E85" s="508">
        <v>89</v>
      </c>
      <c r="F85" s="508">
        <f>4+2</f>
        <v>6</v>
      </c>
      <c r="G85" s="508"/>
      <c r="H85" s="468">
        <f t="shared" si="21"/>
        <v>195</v>
      </c>
      <c r="I85" s="468">
        <f t="shared" si="6"/>
        <v>157</v>
      </c>
      <c r="J85" s="508">
        <f>40+11</f>
        <v>51</v>
      </c>
      <c r="K85" s="508"/>
      <c r="L85" s="478">
        <f t="shared" si="22"/>
        <v>106</v>
      </c>
      <c r="M85" s="508"/>
      <c r="N85" s="508"/>
      <c r="O85" s="508"/>
      <c r="P85" s="530"/>
      <c r="Q85" s="531">
        <v>38</v>
      </c>
      <c r="R85" s="459">
        <f t="shared" si="8"/>
        <v>144</v>
      </c>
      <c r="S85" s="378">
        <f t="shared" si="20"/>
        <v>0.3248407643312102</v>
      </c>
    </row>
    <row r="86" spans="1:19" ht="25.5" customHeight="1">
      <c r="A86" s="430" t="s">
        <v>579</v>
      </c>
      <c r="B86" s="439" t="s">
        <v>533</v>
      </c>
      <c r="C86" s="459">
        <f t="shared" si="2"/>
        <v>321</v>
      </c>
      <c r="D86" s="508">
        <f>114+92</f>
        <v>206</v>
      </c>
      <c r="E86" s="508">
        <f>61+36+18</f>
        <v>115</v>
      </c>
      <c r="F86" s="508">
        <v>1</v>
      </c>
      <c r="G86" s="508">
        <v>0</v>
      </c>
      <c r="H86" s="468">
        <f t="shared" si="21"/>
        <v>320</v>
      </c>
      <c r="I86" s="468">
        <f t="shared" si="6"/>
        <v>263</v>
      </c>
      <c r="J86" s="508">
        <f>29+25</f>
        <v>54</v>
      </c>
      <c r="K86" s="508">
        <v>2</v>
      </c>
      <c r="L86" s="478">
        <f t="shared" si="22"/>
        <v>202</v>
      </c>
      <c r="M86" s="508">
        <v>3</v>
      </c>
      <c r="N86" s="508">
        <v>2</v>
      </c>
      <c r="O86" s="508">
        <v>0</v>
      </c>
      <c r="P86" s="530">
        <v>0</v>
      </c>
      <c r="Q86" s="531">
        <v>57</v>
      </c>
      <c r="R86" s="459">
        <f t="shared" si="8"/>
        <v>264</v>
      </c>
      <c r="S86" s="378">
        <f t="shared" si="20"/>
        <v>0.21292775665399238</v>
      </c>
    </row>
    <row r="87" spans="1:19" ht="25.5" customHeight="1">
      <c r="A87" s="432" t="s">
        <v>83</v>
      </c>
      <c r="B87" s="433" t="s">
        <v>534</v>
      </c>
      <c r="C87" s="459">
        <f t="shared" si="2"/>
        <v>204</v>
      </c>
      <c r="D87" s="468">
        <f>D88+D89+D90</f>
        <v>139</v>
      </c>
      <c r="E87" s="468">
        <f aca="true" t="shared" si="24" ref="E87:R87">E88+E89+E90</f>
        <v>65</v>
      </c>
      <c r="F87" s="468">
        <f t="shared" si="24"/>
        <v>0</v>
      </c>
      <c r="G87" s="468">
        <f t="shared" si="24"/>
        <v>0</v>
      </c>
      <c r="H87" s="468">
        <f t="shared" si="24"/>
        <v>204</v>
      </c>
      <c r="I87" s="468">
        <f t="shared" si="24"/>
        <v>132</v>
      </c>
      <c r="J87" s="468">
        <f t="shared" si="24"/>
        <v>29</v>
      </c>
      <c r="K87" s="468">
        <f t="shared" si="24"/>
        <v>1</v>
      </c>
      <c r="L87" s="468">
        <f t="shared" si="24"/>
        <v>101</v>
      </c>
      <c r="M87" s="468">
        <f t="shared" si="24"/>
        <v>0</v>
      </c>
      <c r="N87" s="468">
        <f t="shared" si="24"/>
        <v>0</v>
      </c>
      <c r="O87" s="468">
        <f t="shared" si="24"/>
        <v>0</v>
      </c>
      <c r="P87" s="468">
        <f t="shared" si="24"/>
        <v>1</v>
      </c>
      <c r="Q87" s="468">
        <f t="shared" si="24"/>
        <v>72</v>
      </c>
      <c r="R87" s="459">
        <f t="shared" si="24"/>
        <v>174</v>
      </c>
      <c r="S87" s="378">
        <f t="shared" si="20"/>
        <v>0.22727272727272727</v>
      </c>
    </row>
    <row r="88" spans="1:19" ht="25.5" customHeight="1">
      <c r="A88" s="430" t="s">
        <v>535</v>
      </c>
      <c r="B88" s="440" t="s">
        <v>536</v>
      </c>
      <c r="C88" s="459">
        <f t="shared" si="2"/>
        <v>26</v>
      </c>
      <c r="D88" s="532">
        <v>5</v>
      </c>
      <c r="E88" s="533">
        <v>21</v>
      </c>
      <c r="F88" s="533">
        <v>0</v>
      </c>
      <c r="G88" s="533">
        <v>0</v>
      </c>
      <c r="H88" s="468">
        <f t="shared" si="21"/>
        <v>26</v>
      </c>
      <c r="I88" s="468">
        <f t="shared" si="6"/>
        <v>25</v>
      </c>
      <c r="J88" s="533">
        <v>5</v>
      </c>
      <c r="K88" s="533">
        <v>0</v>
      </c>
      <c r="L88" s="478">
        <f t="shared" si="22"/>
        <v>19</v>
      </c>
      <c r="M88" s="533">
        <v>0</v>
      </c>
      <c r="N88" s="533">
        <v>0</v>
      </c>
      <c r="O88" s="533">
        <v>0</v>
      </c>
      <c r="P88" s="534">
        <v>1</v>
      </c>
      <c r="Q88" s="535">
        <v>1</v>
      </c>
      <c r="R88" s="459">
        <f t="shared" si="8"/>
        <v>21</v>
      </c>
      <c r="S88" s="378">
        <f t="shared" si="20"/>
        <v>0.2</v>
      </c>
    </row>
    <row r="89" spans="1:19" ht="25.5" customHeight="1">
      <c r="A89" s="430" t="s">
        <v>537</v>
      </c>
      <c r="B89" s="440" t="s">
        <v>538</v>
      </c>
      <c r="C89" s="459">
        <f t="shared" si="2"/>
        <v>98</v>
      </c>
      <c r="D89" s="475" t="s">
        <v>573</v>
      </c>
      <c r="E89" s="536" t="s">
        <v>576</v>
      </c>
      <c r="F89" s="536" t="s">
        <v>445</v>
      </c>
      <c r="G89" s="536" t="s">
        <v>445</v>
      </c>
      <c r="H89" s="468">
        <f t="shared" si="21"/>
        <v>98</v>
      </c>
      <c r="I89" s="468">
        <f t="shared" si="6"/>
        <v>57</v>
      </c>
      <c r="J89" s="536" t="s">
        <v>61</v>
      </c>
      <c r="K89" s="536" t="s">
        <v>43</v>
      </c>
      <c r="L89" s="478">
        <f t="shared" si="22"/>
        <v>49</v>
      </c>
      <c r="M89" s="536" t="s">
        <v>445</v>
      </c>
      <c r="N89" s="536" t="s">
        <v>445</v>
      </c>
      <c r="O89" s="536" t="s">
        <v>445</v>
      </c>
      <c r="P89" s="537" t="s">
        <v>445</v>
      </c>
      <c r="Q89" s="538" t="s">
        <v>578</v>
      </c>
      <c r="R89" s="459">
        <f t="shared" si="8"/>
        <v>90</v>
      </c>
      <c r="S89" s="378">
        <f t="shared" si="20"/>
        <v>0.14035087719298245</v>
      </c>
    </row>
    <row r="90" spans="1:19" ht="25.5" customHeight="1">
      <c r="A90" s="430" t="s">
        <v>539</v>
      </c>
      <c r="B90" s="441" t="s">
        <v>540</v>
      </c>
      <c r="C90" s="459">
        <f t="shared" si="2"/>
        <v>80</v>
      </c>
      <c r="D90" s="475" t="s">
        <v>570</v>
      </c>
      <c r="E90" s="536" t="s">
        <v>577</v>
      </c>
      <c r="F90" s="536" t="s">
        <v>445</v>
      </c>
      <c r="G90" s="536" t="s">
        <v>445</v>
      </c>
      <c r="H90" s="468">
        <f t="shared" si="21"/>
        <v>80</v>
      </c>
      <c r="I90" s="468">
        <f t="shared" si="6"/>
        <v>50</v>
      </c>
      <c r="J90" s="536" t="s">
        <v>255</v>
      </c>
      <c r="K90" s="536" t="s">
        <v>445</v>
      </c>
      <c r="L90" s="478">
        <f t="shared" si="22"/>
        <v>33</v>
      </c>
      <c r="M90" s="536" t="s">
        <v>445</v>
      </c>
      <c r="N90" s="536" t="s">
        <v>445</v>
      </c>
      <c r="O90" s="536" t="s">
        <v>445</v>
      </c>
      <c r="P90" s="537" t="s">
        <v>445</v>
      </c>
      <c r="Q90" s="538" t="s">
        <v>574</v>
      </c>
      <c r="R90" s="459">
        <f t="shared" si="8"/>
        <v>63</v>
      </c>
      <c r="S90" s="378">
        <f t="shared" si="20"/>
        <v>0.34</v>
      </c>
    </row>
    <row r="91" spans="1:19" ht="25.5" customHeight="1">
      <c r="A91" s="432" t="s">
        <v>84</v>
      </c>
      <c r="B91" s="433" t="s">
        <v>541</v>
      </c>
      <c r="C91" s="459">
        <f t="shared" si="2"/>
        <v>257</v>
      </c>
      <c r="D91" s="468">
        <f>D92+D93+D94</f>
        <v>175</v>
      </c>
      <c r="E91" s="468">
        <f aca="true" t="shared" si="25" ref="E91:R91">E92+E93+E94</f>
        <v>82</v>
      </c>
      <c r="F91" s="468">
        <f t="shared" si="25"/>
        <v>9</v>
      </c>
      <c r="G91" s="468">
        <f t="shared" si="25"/>
        <v>0</v>
      </c>
      <c r="H91" s="468">
        <f t="shared" si="25"/>
        <v>248</v>
      </c>
      <c r="I91" s="468">
        <f t="shared" si="25"/>
        <v>169</v>
      </c>
      <c r="J91" s="468">
        <f t="shared" si="25"/>
        <v>48</v>
      </c>
      <c r="K91" s="468">
        <f t="shared" si="25"/>
        <v>6</v>
      </c>
      <c r="L91" s="468">
        <f t="shared" si="25"/>
        <v>115</v>
      </c>
      <c r="M91" s="468">
        <f t="shared" si="25"/>
        <v>0</v>
      </c>
      <c r="N91" s="468">
        <f t="shared" si="25"/>
        <v>0</v>
      </c>
      <c r="O91" s="468">
        <f t="shared" si="25"/>
        <v>0</v>
      </c>
      <c r="P91" s="468">
        <f t="shared" si="25"/>
        <v>0</v>
      </c>
      <c r="Q91" s="468">
        <f t="shared" si="25"/>
        <v>79</v>
      </c>
      <c r="R91" s="459">
        <f t="shared" si="25"/>
        <v>194</v>
      </c>
      <c r="S91" s="378">
        <f t="shared" si="20"/>
        <v>0.31952662721893493</v>
      </c>
    </row>
    <row r="92" spans="1:19" ht="25.5" customHeight="1">
      <c r="A92" s="430" t="s">
        <v>542</v>
      </c>
      <c r="B92" s="434" t="s">
        <v>543</v>
      </c>
      <c r="C92" s="459">
        <f t="shared" si="2"/>
        <v>67</v>
      </c>
      <c r="D92" s="539">
        <v>55</v>
      </c>
      <c r="E92" s="492">
        <v>12</v>
      </c>
      <c r="F92" s="492">
        <v>2</v>
      </c>
      <c r="G92" s="498"/>
      <c r="H92" s="468">
        <f t="shared" si="21"/>
        <v>65</v>
      </c>
      <c r="I92" s="468">
        <f t="shared" si="6"/>
        <v>39</v>
      </c>
      <c r="J92" s="492">
        <v>9</v>
      </c>
      <c r="K92" s="492">
        <v>0</v>
      </c>
      <c r="L92" s="478">
        <f t="shared" si="22"/>
        <v>30</v>
      </c>
      <c r="M92" s="492">
        <v>0</v>
      </c>
      <c r="N92" s="492"/>
      <c r="O92" s="492"/>
      <c r="P92" s="492"/>
      <c r="Q92" s="492">
        <v>26</v>
      </c>
      <c r="R92" s="459">
        <f t="shared" si="8"/>
        <v>56</v>
      </c>
      <c r="S92" s="378">
        <f t="shared" si="20"/>
        <v>0.23076923076923078</v>
      </c>
    </row>
    <row r="93" spans="1:19" ht="25.5" customHeight="1">
      <c r="A93" s="430" t="s">
        <v>544</v>
      </c>
      <c r="B93" s="434" t="s">
        <v>545</v>
      </c>
      <c r="C93" s="459">
        <f t="shared" si="2"/>
        <v>113</v>
      </c>
      <c r="D93" s="539">
        <v>56</v>
      </c>
      <c r="E93" s="492">
        <v>57</v>
      </c>
      <c r="F93" s="492">
        <v>7</v>
      </c>
      <c r="G93" s="498">
        <v>0</v>
      </c>
      <c r="H93" s="468">
        <f t="shared" si="21"/>
        <v>106</v>
      </c>
      <c r="I93" s="468">
        <f t="shared" si="6"/>
        <v>78</v>
      </c>
      <c r="J93" s="492">
        <v>32</v>
      </c>
      <c r="K93" s="540">
        <v>4</v>
      </c>
      <c r="L93" s="478">
        <f t="shared" si="22"/>
        <v>42</v>
      </c>
      <c r="M93" s="492">
        <v>0</v>
      </c>
      <c r="N93" s="492">
        <v>0</v>
      </c>
      <c r="O93" s="492">
        <v>0</v>
      </c>
      <c r="P93" s="492">
        <v>0</v>
      </c>
      <c r="Q93" s="493">
        <v>28</v>
      </c>
      <c r="R93" s="459">
        <f t="shared" si="8"/>
        <v>70</v>
      </c>
      <c r="S93" s="378">
        <f t="shared" si="20"/>
        <v>0.46153846153846156</v>
      </c>
    </row>
    <row r="94" spans="1:19" ht="25.5" customHeight="1">
      <c r="A94" s="442" t="s">
        <v>546</v>
      </c>
      <c r="B94" s="434" t="s">
        <v>547</v>
      </c>
      <c r="C94" s="459">
        <f t="shared" si="2"/>
        <v>77</v>
      </c>
      <c r="D94" s="539">
        <v>64</v>
      </c>
      <c r="E94" s="492">
        <v>13</v>
      </c>
      <c r="F94" s="492">
        <v>0</v>
      </c>
      <c r="G94" s="498">
        <v>0</v>
      </c>
      <c r="H94" s="468">
        <f t="shared" si="21"/>
        <v>77</v>
      </c>
      <c r="I94" s="468">
        <f t="shared" si="6"/>
        <v>52</v>
      </c>
      <c r="J94" s="492">
        <v>7</v>
      </c>
      <c r="K94" s="492">
        <v>2</v>
      </c>
      <c r="L94" s="478">
        <f t="shared" si="22"/>
        <v>43</v>
      </c>
      <c r="M94" s="492">
        <v>0</v>
      </c>
      <c r="N94" s="492">
        <v>0</v>
      </c>
      <c r="O94" s="492">
        <v>0</v>
      </c>
      <c r="P94" s="492">
        <v>0</v>
      </c>
      <c r="Q94" s="493">
        <v>25</v>
      </c>
      <c r="R94" s="459">
        <f t="shared" si="8"/>
        <v>68</v>
      </c>
      <c r="S94" s="378">
        <f t="shared" si="20"/>
        <v>0.17307692307692307</v>
      </c>
    </row>
    <row r="95" spans="1:19" ht="25.5" customHeight="1">
      <c r="A95" s="432" t="s">
        <v>85</v>
      </c>
      <c r="B95" s="433" t="s">
        <v>548</v>
      </c>
      <c r="C95" s="459">
        <f t="shared" si="2"/>
        <v>237</v>
      </c>
      <c r="D95" s="468">
        <f>D96+D97</f>
        <v>97</v>
      </c>
      <c r="E95" s="468">
        <f aca="true" t="shared" si="26" ref="E95:R95">E96+E97</f>
        <v>140</v>
      </c>
      <c r="F95" s="468">
        <f t="shared" si="26"/>
        <v>0</v>
      </c>
      <c r="G95" s="468">
        <f t="shared" si="26"/>
        <v>0</v>
      </c>
      <c r="H95" s="468">
        <f t="shared" si="26"/>
        <v>237</v>
      </c>
      <c r="I95" s="468">
        <f t="shared" si="26"/>
        <v>202</v>
      </c>
      <c r="J95" s="468">
        <f t="shared" si="26"/>
        <v>110</v>
      </c>
      <c r="K95" s="468">
        <f t="shared" si="26"/>
        <v>1</v>
      </c>
      <c r="L95" s="468">
        <f t="shared" si="26"/>
        <v>91</v>
      </c>
      <c r="M95" s="468">
        <f t="shared" si="26"/>
        <v>0</v>
      </c>
      <c r="N95" s="468">
        <f t="shared" si="26"/>
        <v>0</v>
      </c>
      <c r="O95" s="468">
        <f t="shared" si="26"/>
        <v>0</v>
      </c>
      <c r="P95" s="468">
        <f t="shared" si="26"/>
        <v>0</v>
      </c>
      <c r="Q95" s="468">
        <f t="shared" si="26"/>
        <v>35</v>
      </c>
      <c r="R95" s="459">
        <f t="shared" si="26"/>
        <v>126</v>
      </c>
      <c r="S95" s="378">
        <f t="shared" si="20"/>
        <v>0.5495049504950495</v>
      </c>
    </row>
    <row r="96" spans="1:19" ht="25.5" customHeight="1">
      <c r="A96" s="430" t="s">
        <v>549</v>
      </c>
      <c r="B96" s="434" t="s">
        <v>550</v>
      </c>
      <c r="C96" s="459">
        <f t="shared" si="2"/>
        <v>97</v>
      </c>
      <c r="D96" s="486">
        <v>37</v>
      </c>
      <c r="E96" s="486">
        <v>60</v>
      </c>
      <c r="F96" s="486"/>
      <c r="G96" s="486">
        <v>0</v>
      </c>
      <c r="H96" s="468">
        <f t="shared" si="21"/>
        <v>97</v>
      </c>
      <c r="I96" s="468">
        <f t="shared" si="6"/>
        <v>92</v>
      </c>
      <c r="J96" s="486">
        <v>46</v>
      </c>
      <c r="K96" s="486">
        <v>1</v>
      </c>
      <c r="L96" s="478">
        <f t="shared" si="22"/>
        <v>45</v>
      </c>
      <c r="M96" s="486">
        <v>0</v>
      </c>
      <c r="N96" s="486">
        <v>0</v>
      </c>
      <c r="O96" s="486">
        <v>0</v>
      </c>
      <c r="P96" s="486">
        <v>0</v>
      </c>
      <c r="Q96" s="478">
        <v>5</v>
      </c>
      <c r="R96" s="459">
        <f t="shared" si="8"/>
        <v>50</v>
      </c>
      <c r="S96" s="378">
        <f t="shared" si="20"/>
        <v>0.5108695652173914</v>
      </c>
    </row>
    <row r="97" spans="1:19" ht="25.5" customHeight="1">
      <c r="A97" s="430" t="s">
        <v>551</v>
      </c>
      <c r="B97" s="434" t="s">
        <v>552</v>
      </c>
      <c r="C97" s="459">
        <f t="shared" si="2"/>
        <v>140</v>
      </c>
      <c r="D97" s="486">
        <v>60</v>
      </c>
      <c r="E97" s="486">
        <v>80</v>
      </c>
      <c r="F97" s="486">
        <v>0</v>
      </c>
      <c r="G97" s="486">
        <v>0</v>
      </c>
      <c r="H97" s="468">
        <f t="shared" si="21"/>
        <v>140</v>
      </c>
      <c r="I97" s="468">
        <f t="shared" si="6"/>
        <v>110</v>
      </c>
      <c r="J97" s="486">
        <v>64</v>
      </c>
      <c r="K97" s="486"/>
      <c r="L97" s="478">
        <f t="shared" si="22"/>
        <v>46</v>
      </c>
      <c r="M97" s="486">
        <v>0</v>
      </c>
      <c r="N97" s="486">
        <v>0</v>
      </c>
      <c r="O97" s="486">
        <v>0</v>
      </c>
      <c r="P97" s="486">
        <v>0</v>
      </c>
      <c r="Q97" s="478">
        <v>30</v>
      </c>
      <c r="R97" s="459">
        <f t="shared" si="8"/>
        <v>76</v>
      </c>
      <c r="S97" s="378">
        <f t="shared" si="20"/>
        <v>0.5818181818181818</v>
      </c>
    </row>
    <row r="98" spans="1:19" s="380" customFormat="1" ht="29.25" customHeight="1">
      <c r="A98" s="891"/>
      <c r="B98" s="891"/>
      <c r="C98" s="891"/>
      <c r="D98" s="891"/>
      <c r="E98" s="891"/>
      <c r="F98" s="416"/>
      <c r="G98" s="416"/>
      <c r="H98" s="416"/>
      <c r="I98" s="416"/>
      <c r="J98" s="416"/>
      <c r="K98" s="416"/>
      <c r="L98" s="416"/>
      <c r="M98" s="416"/>
      <c r="N98" s="898" t="str">
        <f>'Thong tin'!B8</f>
        <v>Lâm Đồng, ngày 06 tháng 02 năm 2017</v>
      </c>
      <c r="O98" s="898"/>
      <c r="P98" s="898"/>
      <c r="Q98" s="898"/>
      <c r="R98" s="898"/>
      <c r="S98" s="898"/>
    </row>
    <row r="99" spans="1:19" s="381" customFormat="1" ht="19.5" customHeight="1">
      <c r="A99" s="418"/>
      <c r="B99" s="886" t="s">
        <v>4</v>
      </c>
      <c r="C99" s="886"/>
      <c r="D99" s="886"/>
      <c r="E99" s="886"/>
      <c r="F99" s="414"/>
      <c r="G99" s="414"/>
      <c r="H99" s="414"/>
      <c r="I99" s="414"/>
      <c r="J99" s="414"/>
      <c r="K99" s="414"/>
      <c r="L99" s="414"/>
      <c r="M99" s="414"/>
      <c r="N99" s="890" t="str">
        <f>'Thong tin'!B7</f>
        <v>CỤC TRƯỞNG</v>
      </c>
      <c r="O99" s="890"/>
      <c r="P99" s="890"/>
      <c r="Q99" s="890"/>
      <c r="R99" s="890"/>
      <c r="S99" s="890"/>
    </row>
    <row r="100" spans="1:19" ht="18.75">
      <c r="A100" s="412"/>
      <c r="B100" s="897"/>
      <c r="C100" s="897"/>
      <c r="D100" s="897"/>
      <c r="E100" s="413"/>
      <c r="F100" s="413"/>
      <c r="G100" s="413"/>
      <c r="H100" s="413"/>
      <c r="I100" s="413"/>
      <c r="J100" s="413"/>
      <c r="K100" s="413"/>
      <c r="L100" s="413"/>
      <c r="M100" s="413"/>
      <c r="N100" s="895"/>
      <c r="O100" s="895"/>
      <c r="P100" s="895"/>
      <c r="Q100" s="895"/>
      <c r="R100" s="895"/>
      <c r="S100" s="895"/>
    </row>
    <row r="101" spans="1:19" ht="18.75">
      <c r="A101" s="412"/>
      <c r="B101" s="895"/>
      <c r="C101" s="895"/>
      <c r="D101" s="895"/>
      <c r="E101" s="895"/>
      <c r="F101" s="413"/>
      <c r="G101" s="413"/>
      <c r="H101" s="413"/>
      <c r="I101" s="413"/>
      <c r="J101" s="413"/>
      <c r="K101" s="413"/>
      <c r="L101" s="413"/>
      <c r="M101" s="413"/>
      <c r="N101" s="413"/>
      <c r="O101" s="413"/>
      <c r="P101" s="895"/>
      <c r="Q101" s="895"/>
      <c r="R101" s="895"/>
      <c r="S101" s="412"/>
    </row>
    <row r="102" spans="1:19" ht="15.75" customHeight="1">
      <c r="A102" s="419"/>
      <c r="B102" s="412"/>
      <c r="C102" s="412"/>
      <c r="D102" s="413"/>
      <c r="E102" s="413"/>
      <c r="F102" s="413"/>
      <c r="G102" s="413"/>
      <c r="H102" s="413"/>
      <c r="I102" s="413"/>
      <c r="J102" s="413"/>
      <c r="K102" s="413"/>
      <c r="L102" s="413"/>
      <c r="M102" s="413"/>
      <c r="N102" s="413"/>
      <c r="O102" s="413"/>
      <c r="P102" s="413"/>
      <c r="Q102" s="413"/>
      <c r="R102" s="412"/>
      <c r="S102" s="412"/>
    </row>
    <row r="103" spans="1:19" ht="15.75" customHeight="1">
      <c r="A103" s="412"/>
      <c r="B103" s="896"/>
      <c r="C103" s="896"/>
      <c r="D103" s="896"/>
      <c r="E103" s="896"/>
      <c r="F103" s="896"/>
      <c r="G103" s="896"/>
      <c r="H103" s="896"/>
      <c r="I103" s="896"/>
      <c r="J103" s="896"/>
      <c r="K103" s="896"/>
      <c r="L103" s="896"/>
      <c r="M103" s="896"/>
      <c r="N103" s="896"/>
      <c r="O103" s="896"/>
      <c r="P103" s="413"/>
      <c r="Q103" s="413"/>
      <c r="R103" s="412"/>
      <c r="S103" s="412"/>
    </row>
    <row r="104" spans="1:19" ht="18.75">
      <c r="A104" s="415"/>
      <c r="B104" s="415"/>
      <c r="C104" s="415"/>
      <c r="D104" s="415"/>
      <c r="E104" s="415"/>
      <c r="F104" s="415"/>
      <c r="G104" s="415"/>
      <c r="H104" s="415"/>
      <c r="I104" s="415"/>
      <c r="J104" s="415"/>
      <c r="K104" s="415"/>
      <c r="L104" s="415"/>
      <c r="M104" s="415"/>
      <c r="N104" s="415"/>
      <c r="O104" s="415"/>
      <c r="P104" s="415"/>
      <c r="Q104" s="412"/>
      <c r="R104" s="412"/>
      <c r="S104" s="412"/>
    </row>
    <row r="105" spans="1:19" ht="18.75">
      <c r="A105" s="412"/>
      <c r="B105" s="412"/>
      <c r="C105" s="412"/>
      <c r="D105" s="412"/>
      <c r="E105" s="412"/>
      <c r="F105" s="412"/>
      <c r="G105" s="412"/>
      <c r="H105" s="412"/>
      <c r="I105" s="412"/>
      <c r="J105" s="412"/>
      <c r="K105" s="412"/>
      <c r="L105" s="412"/>
      <c r="M105" s="412"/>
      <c r="N105" s="412"/>
      <c r="O105" s="412"/>
      <c r="P105" s="412"/>
      <c r="Q105" s="412"/>
      <c r="R105" s="412"/>
      <c r="S105" s="412"/>
    </row>
    <row r="106" spans="1:19" ht="18.75">
      <c r="A106" s="412"/>
      <c r="B106" s="882" t="str">
        <f>'Thong tin'!B5</f>
        <v>Phạm Ngọc Hoa</v>
      </c>
      <c r="C106" s="882"/>
      <c r="D106" s="882"/>
      <c r="E106" s="882"/>
      <c r="F106" s="412"/>
      <c r="G106" s="412"/>
      <c r="H106" s="412"/>
      <c r="I106" s="412"/>
      <c r="J106" s="412"/>
      <c r="K106" s="412"/>
      <c r="L106" s="412"/>
      <c r="M106" s="412"/>
      <c r="N106" s="882" t="str">
        <f>'Thong tin'!B6</f>
        <v>Trần Hữu Thọ </v>
      </c>
      <c r="O106" s="882"/>
      <c r="P106" s="882"/>
      <c r="Q106" s="882"/>
      <c r="R106" s="882"/>
      <c r="S106" s="882"/>
    </row>
    <row r="107" spans="1:19" ht="18.75">
      <c r="A107" s="389"/>
      <c r="B107" s="389"/>
      <c r="C107" s="389"/>
      <c r="D107" s="389"/>
      <c r="E107" s="389"/>
      <c r="F107" s="389"/>
      <c r="G107" s="389"/>
      <c r="H107" s="389"/>
      <c r="I107" s="389"/>
      <c r="J107" s="389"/>
      <c r="K107" s="389"/>
      <c r="L107" s="389"/>
      <c r="M107" s="389"/>
      <c r="N107" s="389"/>
      <c r="O107" s="389"/>
      <c r="P107" s="389"/>
      <c r="Q107" s="389"/>
      <c r="R107" s="389"/>
      <c r="S107" s="389"/>
    </row>
  </sheetData>
  <sheetProtection/>
  <mergeCells count="36">
    <mergeCell ref="E1:O1"/>
    <mergeCell ref="E2:O2"/>
    <mergeCell ref="E3:O3"/>
    <mergeCell ref="F6:F9"/>
    <mergeCell ref="G6:G9"/>
    <mergeCell ref="H6:Q6"/>
    <mergeCell ref="C6:E6"/>
    <mergeCell ref="A2:D2"/>
    <mergeCell ref="P2:S2"/>
    <mergeCell ref="A3:D3"/>
    <mergeCell ref="N100:S100"/>
    <mergeCell ref="B103:O103"/>
    <mergeCell ref="B100:D100"/>
    <mergeCell ref="B101:E101"/>
    <mergeCell ref="P101:R101"/>
    <mergeCell ref="N98:S98"/>
    <mergeCell ref="S6:S9"/>
    <mergeCell ref="I7:P7"/>
    <mergeCell ref="C7:C9"/>
    <mergeCell ref="N99:S99"/>
    <mergeCell ref="A98:E98"/>
    <mergeCell ref="P4:S4"/>
    <mergeCell ref="A6:B9"/>
    <mergeCell ref="H7:H9"/>
    <mergeCell ref="Q7:Q9"/>
    <mergeCell ref="I8:I9"/>
    <mergeCell ref="N106:S106"/>
    <mergeCell ref="D7:E7"/>
    <mergeCell ref="D8:D9"/>
    <mergeCell ref="E8:E9"/>
    <mergeCell ref="J8:P8"/>
    <mergeCell ref="B106:E106"/>
    <mergeCell ref="A10:B10"/>
    <mergeCell ref="B99:E99"/>
    <mergeCell ref="A11:B11"/>
    <mergeCell ref="R6:R9"/>
  </mergeCells>
  <printOptions/>
  <pageMargins left="0.393700787401575" right="0"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107"/>
  <sheetViews>
    <sheetView showZeros="0" tabSelected="1" zoomScale="60" zoomScaleNormal="60" zoomScaleSheetLayoutView="65" workbookViewId="0" topLeftCell="A1">
      <selection activeCell="I90" sqref="I90"/>
    </sheetView>
  </sheetViews>
  <sheetFormatPr defaultColWidth="9.00390625" defaultRowHeight="15.75"/>
  <cols>
    <col min="1" max="1" width="3.50390625" style="383" customWidth="1"/>
    <col min="2" max="2" width="21.50390625" style="383" customWidth="1"/>
    <col min="3" max="3" width="17.375" style="383" customWidth="1"/>
    <col min="4" max="4" width="16.125" style="383" customWidth="1"/>
    <col min="5" max="5" width="16.50390625" style="383" customWidth="1"/>
    <col min="6" max="6" width="13.75390625" style="383" customWidth="1"/>
    <col min="7" max="7" width="7.75390625" style="383" customWidth="1"/>
    <col min="8" max="8" width="16.75390625" style="383" customWidth="1"/>
    <col min="9" max="9" width="15.125" style="383" customWidth="1"/>
    <col min="10" max="10" width="15.375" style="383" customWidth="1"/>
    <col min="11" max="11" width="14.50390625" style="383" customWidth="1"/>
    <col min="12" max="12" width="9.25390625" style="383" customWidth="1"/>
    <col min="13" max="13" width="15.625" style="383" customWidth="1"/>
    <col min="14" max="14" width="12.00390625" style="383" customWidth="1"/>
    <col min="15" max="15" width="10.875" style="383" customWidth="1"/>
    <col min="16" max="16" width="11.375" style="383" customWidth="1"/>
    <col min="17" max="17" width="13.75390625" style="383" customWidth="1"/>
    <col min="18" max="18" width="16.625" style="383" customWidth="1"/>
    <col min="19" max="19" width="17.125" style="383" customWidth="1"/>
    <col min="20" max="20" width="6.75390625" style="383" customWidth="1"/>
    <col min="21" max="16384" width="9.00390625" style="383" customWidth="1"/>
  </cols>
  <sheetData>
    <row r="1" spans="1:20" s="385" customFormat="1" ht="20.25" customHeight="1">
      <c r="A1" s="402" t="s">
        <v>28</v>
      </c>
      <c r="B1" s="402"/>
      <c r="C1" s="402"/>
      <c r="D1" s="399"/>
      <c r="E1" s="899" t="s">
        <v>562</v>
      </c>
      <c r="F1" s="899"/>
      <c r="G1" s="899"/>
      <c r="H1" s="899"/>
      <c r="I1" s="899"/>
      <c r="J1" s="899"/>
      <c r="K1" s="899"/>
      <c r="L1" s="899"/>
      <c r="M1" s="899"/>
      <c r="N1" s="899"/>
      <c r="O1" s="899"/>
      <c r="P1" s="899"/>
      <c r="Q1" s="420" t="s">
        <v>437</v>
      </c>
      <c r="R1" s="391"/>
      <c r="S1" s="391"/>
      <c r="T1" s="391"/>
    </row>
    <row r="2" spans="1:20" ht="17.25" customHeight="1">
      <c r="A2" s="911" t="s">
        <v>245</v>
      </c>
      <c r="B2" s="911"/>
      <c r="C2" s="911"/>
      <c r="D2" s="911"/>
      <c r="E2" s="900" t="s">
        <v>34</v>
      </c>
      <c r="F2" s="900"/>
      <c r="G2" s="900"/>
      <c r="H2" s="900"/>
      <c r="I2" s="900"/>
      <c r="J2" s="900"/>
      <c r="K2" s="900"/>
      <c r="L2" s="900"/>
      <c r="M2" s="900"/>
      <c r="N2" s="900"/>
      <c r="O2" s="900"/>
      <c r="P2" s="900"/>
      <c r="Q2" s="912" t="str">
        <f>'Thong tin'!B4</f>
        <v>Cục Thi hành án dân sự tỉnh Lâm Đồng </v>
      </c>
      <c r="R2" s="912"/>
      <c r="S2" s="912"/>
      <c r="T2" s="912"/>
    </row>
    <row r="3" spans="1:20" s="385" customFormat="1" ht="18" customHeight="1">
      <c r="A3" s="916" t="s">
        <v>246</v>
      </c>
      <c r="B3" s="916"/>
      <c r="C3" s="916"/>
      <c r="D3" s="916"/>
      <c r="E3" s="901" t="str">
        <f>'Thong tin'!B3</f>
        <v>04 tháng / năm 2017</v>
      </c>
      <c r="F3" s="901"/>
      <c r="G3" s="901"/>
      <c r="H3" s="901"/>
      <c r="I3" s="901"/>
      <c r="J3" s="901"/>
      <c r="K3" s="901"/>
      <c r="L3" s="901"/>
      <c r="M3" s="901"/>
      <c r="N3" s="901"/>
      <c r="O3" s="901"/>
      <c r="P3" s="901"/>
      <c r="Q3" s="420" t="s">
        <v>366</v>
      </c>
      <c r="R3" s="400"/>
      <c r="S3" s="391"/>
      <c r="T3" s="391"/>
    </row>
    <row r="4" spans="1:20" ht="14.25" customHeight="1">
      <c r="A4" s="401" t="s">
        <v>124</v>
      </c>
      <c r="B4" s="390"/>
      <c r="C4" s="390"/>
      <c r="D4" s="390"/>
      <c r="E4" s="390"/>
      <c r="F4" s="390"/>
      <c r="G4" s="390"/>
      <c r="H4" s="390"/>
      <c r="I4" s="390"/>
      <c r="J4" s="390"/>
      <c r="K4" s="390"/>
      <c r="L4" s="390"/>
      <c r="M4" s="390"/>
      <c r="N4" s="390"/>
      <c r="O4" s="406"/>
      <c r="P4" s="406"/>
      <c r="Q4" s="913" t="s">
        <v>308</v>
      </c>
      <c r="R4" s="913"/>
      <c r="S4" s="913"/>
      <c r="T4" s="913"/>
    </row>
    <row r="5" spans="1:20" s="385" customFormat="1" ht="21.75" customHeight="1" thickBot="1">
      <c r="A5" s="383"/>
      <c r="B5" s="21"/>
      <c r="C5" s="21"/>
      <c r="D5" s="383"/>
      <c r="E5" s="383"/>
      <c r="F5" s="383"/>
      <c r="G5" s="383"/>
      <c r="H5" s="383"/>
      <c r="I5" s="383"/>
      <c r="J5" s="383"/>
      <c r="K5" s="383"/>
      <c r="L5" s="383"/>
      <c r="M5" s="383"/>
      <c r="N5" s="383"/>
      <c r="O5" s="383"/>
      <c r="P5" s="383"/>
      <c r="Q5" s="908" t="s">
        <v>438</v>
      </c>
      <c r="R5" s="908"/>
      <c r="S5" s="908"/>
      <c r="T5" s="908"/>
    </row>
    <row r="6" spans="1:36" s="385" customFormat="1" ht="18.75" customHeight="1" thickTop="1">
      <c r="A6" s="921" t="s">
        <v>57</v>
      </c>
      <c r="B6" s="922"/>
      <c r="C6" s="905" t="s">
        <v>125</v>
      </c>
      <c r="D6" s="905"/>
      <c r="E6" s="905"/>
      <c r="F6" s="909" t="s">
        <v>101</v>
      </c>
      <c r="G6" s="909" t="s">
        <v>126</v>
      </c>
      <c r="H6" s="910" t="s">
        <v>102</v>
      </c>
      <c r="I6" s="910"/>
      <c r="J6" s="910"/>
      <c r="K6" s="910"/>
      <c r="L6" s="910"/>
      <c r="M6" s="910"/>
      <c r="N6" s="910"/>
      <c r="O6" s="910"/>
      <c r="P6" s="910"/>
      <c r="Q6" s="910"/>
      <c r="R6" s="910"/>
      <c r="S6" s="905" t="s">
        <v>250</v>
      </c>
      <c r="T6" s="914" t="s">
        <v>436</v>
      </c>
      <c r="U6" s="387"/>
      <c r="V6" s="387"/>
      <c r="W6" s="387"/>
      <c r="X6" s="387"/>
      <c r="Y6" s="387"/>
      <c r="Z6" s="387"/>
      <c r="AA6" s="387"/>
      <c r="AB6" s="387"/>
      <c r="AC6" s="387"/>
      <c r="AD6" s="387"/>
      <c r="AE6" s="387"/>
      <c r="AF6" s="387"/>
      <c r="AG6" s="387"/>
      <c r="AH6" s="387"/>
      <c r="AI6" s="387"/>
      <c r="AJ6" s="387"/>
    </row>
    <row r="7" spans="1:36" s="407" customFormat="1" ht="21" customHeight="1">
      <c r="A7" s="923"/>
      <c r="B7" s="893"/>
      <c r="C7" s="889" t="s">
        <v>42</v>
      </c>
      <c r="D7" s="883" t="s">
        <v>7</v>
      </c>
      <c r="E7" s="883"/>
      <c r="F7" s="894"/>
      <c r="G7" s="894"/>
      <c r="H7" s="894" t="s">
        <v>102</v>
      </c>
      <c r="I7" s="889" t="s">
        <v>103</v>
      </c>
      <c r="J7" s="889"/>
      <c r="K7" s="889"/>
      <c r="L7" s="889"/>
      <c r="M7" s="889"/>
      <c r="N7" s="889"/>
      <c r="O7" s="889"/>
      <c r="P7" s="889"/>
      <c r="Q7" s="889"/>
      <c r="R7" s="894" t="s">
        <v>127</v>
      </c>
      <c r="S7" s="889"/>
      <c r="T7" s="915"/>
      <c r="U7" s="391"/>
      <c r="V7" s="391"/>
      <c r="W7" s="391"/>
      <c r="X7" s="391"/>
      <c r="Y7" s="391"/>
      <c r="Z7" s="391"/>
      <c r="AA7" s="391"/>
      <c r="AB7" s="391"/>
      <c r="AC7" s="391"/>
      <c r="AD7" s="391"/>
      <c r="AE7" s="391"/>
      <c r="AF7" s="391"/>
      <c r="AG7" s="391"/>
      <c r="AH7" s="391"/>
      <c r="AI7" s="391"/>
      <c r="AJ7" s="391"/>
    </row>
    <row r="8" spans="1:36" s="385" customFormat="1" ht="21.75" customHeight="1">
      <c r="A8" s="923"/>
      <c r="B8" s="893"/>
      <c r="C8" s="889"/>
      <c r="D8" s="883" t="s">
        <v>128</v>
      </c>
      <c r="E8" s="883" t="s">
        <v>129</v>
      </c>
      <c r="F8" s="894"/>
      <c r="G8" s="894"/>
      <c r="H8" s="894"/>
      <c r="I8" s="894" t="s">
        <v>435</v>
      </c>
      <c r="J8" s="883" t="s">
        <v>7</v>
      </c>
      <c r="K8" s="883"/>
      <c r="L8" s="883"/>
      <c r="M8" s="883"/>
      <c r="N8" s="883"/>
      <c r="O8" s="883"/>
      <c r="P8" s="883"/>
      <c r="Q8" s="883"/>
      <c r="R8" s="894"/>
      <c r="S8" s="889"/>
      <c r="T8" s="915"/>
      <c r="U8" s="387"/>
      <c r="V8" s="387"/>
      <c r="W8" s="387"/>
      <c r="X8" s="387"/>
      <c r="Y8" s="387"/>
      <c r="Z8" s="387"/>
      <c r="AA8" s="387"/>
      <c r="AB8" s="387"/>
      <c r="AC8" s="387"/>
      <c r="AD8" s="387"/>
      <c r="AE8" s="387"/>
      <c r="AF8" s="387"/>
      <c r="AG8" s="387"/>
      <c r="AH8" s="387"/>
      <c r="AI8" s="387"/>
      <c r="AJ8" s="387"/>
    </row>
    <row r="9" spans="1:36" s="385" customFormat="1" ht="84" customHeight="1">
      <c r="A9" s="923"/>
      <c r="B9" s="893"/>
      <c r="C9" s="889"/>
      <c r="D9" s="883"/>
      <c r="E9" s="883"/>
      <c r="F9" s="894"/>
      <c r="G9" s="894"/>
      <c r="H9" s="894"/>
      <c r="I9" s="894"/>
      <c r="J9" s="395" t="s">
        <v>130</v>
      </c>
      <c r="K9" s="395" t="s">
        <v>131</v>
      </c>
      <c r="L9" s="395" t="s">
        <v>123</v>
      </c>
      <c r="M9" s="396" t="s">
        <v>105</v>
      </c>
      <c r="N9" s="396" t="s">
        <v>132</v>
      </c>
      <c r="O9" s="396" t="s">
        <v>108</v>
      </c>
      <c r="P9" s="396" t="s">
        <v>251</v>
      </c>
      <c r="Q9" s="396" t="s">
        <v>111</v>
      </c>
      <c r="R9" s="894"/>
      <c r="S9" s="889"/>
      <c r="T9" s="915"/>
      <c r="U9" s="387"/>
      <c r="V9" s="387"/>
      <c r="W9" s="387"/>
      <c r="X9" s="387"/>
      <c r="Y9" s="387"/>
      <c r="Z9" s="387"/>
      <c r="AA9" s="387"/>
      <c r="AB9" s="387"/>
      <c r="AC9" s="387"/>
      <c r="AD9" s="387"/>
      <c r="AE9" s="387"/>
      <c r="AF9" s="387"/>
      <c r="AG9" s="387"/>
      <c r="AH9" s="387"/>
      <c r="AI9" s="387"/>
      <c r="AJ9" s="387"/>
    </row>
    <row r="10" spans="1:20" s="385" customFormat="1" ht="17.25" customHeight="1">
      <c r="A10" s="906" t="s">
        <v>6</v>
      </c>
      <c r="B10" s="907"/>
      <c r="C10" s="403">
        <v>1</v>
      </c>
      <c r="D10" s="403">
        <v>2</v>
      </c>
      <c r="E10" s="403">
        <v>3</v>
      </c>
      <c r="F10" s="403">
        <v>4</v>
      </c>
      <c r="G10" s="403">
        <v>5</v>
      </c>
      <c r="H10" s="403">
        <v>6</v>
      </c>
      <c r="I10" s="403">
        <v>7</v>
      </c>
      <c r="J10" s="403">
        <v>8</v>
      </c>
      <c r="K10" s="403">
        <v>9</v>
      </c>
      <c r="L10" s="403" t="s">
        <v>83</v>
      </c>
      <c r="M10" s="403" t="s">
        <v>84</v>
      </c>
      <c r="N10" s="403" t="s">
        <v>85</v>
      </c>
      <c r="O10" s="403" t="s">
        <v>86</v>
      </c>
      <c r="P10" s="403" t="s">
        <v>87</v>
      </c>
      <c r="Q10" s="403" t="s">
        <v>253</v>
      </c>
      <c r="R10" s="403" t="s">
        <v>254</v>
      </c>
      <c r="S10" s="403" t="s">
        <v>255</v>
      </c>
      <c r="T10" s="404" t="s">
        <v>256</v>
      </c>
    </row>
    <row r="11" spans="1:21" s="385" customFormat="1" ht="39.75" customHeight="1">
      <c r="A11" s="887" t="s">
        <v>30</v>
      </c>
      <c r="B11" s="888"/>
      <c r="C11" s="461">
        <f>D11+E11</f>
        <v>2306764004</v>
      </c>
      <c r="D11" s="461">
        <f aca="true" t="shared" si="0" ref="D11:S11">D13+D28</f>
        <v>2114010179</v>
      </c>
      <c r="E11" s="461">
        <f>E13+E28</f>
        <v>192753825</v>
      </c>
      <c r="F11" s="461">
        <f t="shared" si="0"/>
        <v>4811549</v>
      </c>
      <c r="G11" s="461">
        <f t="shared" si="0"/>
        <v>0</v>
      </c>
      <c r="H11" s="461">
        <f t="shared" si="0"/>
        <v>2301952455</v>
      </c>
      <c r="I11" s="461">
        <f t="shared" si="0"/>
        <v>864261643</v>
      </c>
      <c r="J11" s="461">
        <f t="shared" si="0"/>
        <v>91045420</v>
      </c>
      <c r="K11" s="461">
        <f t="shared" si="0"/>
        <v>60289268</v>
      </c>
      <c r="L11" s="461">
        <f t="shared" si="0"/>
        <v>47915</v>
      </c>
      <c r="M11" s="461">
        <f t="shared" si="0"/>
        <v>695969691</v>
      </c>
      <c r="N11" s="461">
        <f t="shared" si="0"/>
        <v>10767353</v>
      </c>
      <c r="O11" s="461">
        <f t="shared" si="0"/>
        <v>1147879</v>
      </c>
      <c r="P11" s="461">
        <f t="shared" si="0"/>
        <v>2000409</v>
      </c>
      <c r="Q11" s="461">
        <f t="shared" si="0"/>
        <v>2993708</v>
      </c>
      <c r="R11" s="461">
        <f t="shared" si="0"/>
        <v>1437690812</v>
      </c>
      <c r="S11" s="461">
        <f t="shared" si="0"/>
        <v>2150569852</v>
      </c>
      <c r="T11" s="470">
        <f>(J11+K11+L11)/I11</f>
        <v>0.17515830330561136</v>
      </c>
      <c r="U11" s="471"/>
    </row>
    <row r="12" spans="1:21" s="385" customFormat="1" ht="39.75" customHeight="1">
      <c r="A12" s="452"/>
      <c r="B12" s="463"/>
      <c r="C12" s="460">
        <f>D12+E12</f>
        <v>0</v>
      </c>
      <c r="D12" s="476"/>
      <c r="E12" s="476"/>
      <c r="F12" s="476"/>
      <c r="G12" s="476"/>
      <c r="H12" s="476">
        <f>C12-F12</f>
        <v>0</v>
      </c>
      <c r="I12" s="476">
        <f>H12-R12</f>
        <v>0</v>
      </c>
      <c r="J12" s="476"/>
      <c r="K12" s="476"/>
      <c r="L12" s="476"/>
      <c r="M12" s="477">
        <f>I12-N12-O12-P12-Q12-J12-K12-L12</f>
        <v>0</v>
      </c>
      <c r="N12" s="476"/>
      <c r="O12" s="476"/>
      <c r="P12" s="476"/>
      <c r="Q12" s="476"/>
      <c r="R12" s="476"/>
      <c r="S12" s="461">
        <f>H12-J12-K12-L12</f>
        <v>0</v>
      </c>
      <c r="T12" s="470"/>
      <c r="U12" s="471"/>
    </row>
    <row r="13" spans="1:21" s="385" customFormat="1" ht="39.75" customHeight="1">
      <c r="A13" s="428" t="s">
        <v>0</v>
      </c>
      <c r="B13" s="455" t="s">
        <v>557</v>
      </c>
      <c r="C13" s="461">
        <f>C14+C15+C16+C17+C18+C19+C20+C21+C22+C23++C24+C25+C26+C27</f>
        <v>664964890</v>
      </c>
      <c r="D13" s="476">
        <f>D14+D15+D16+D17+D18+D19+D20+D21+D22+D23++D24+D25+D26+D27</f>
        <v>659846781</v>
      </c>
      <c r="E13" s="476">
        <f aca="true" t="shared" si="1" ref="E13:S13">E14+E15+E16+E17+E18+E19+E20+E21+E22+E23++E24+E25+E26+E27</f>
        <v>5118109</v>
      </c>
      <c r="F13" s="476">
        <f t="shared" si="1"/>
        <v>675143</v>
      </c>
      <c r="G13" s="476">
        <f t="shared" si="1"/>
        <v>0</v>
      </c>
      <c r="H13" s="476">
        <f t="shared" si="1"/>
        <v>664289747</v>
      </c>
      <c r="I13" s="476">
        <f t="shared" si="1"/>
        <v>26309776</v>
      </c>
      <c r="J13" s="476">
        <f t="shared" si="1"/>
        <v>1767972</v>
      </c>
      <c r="K13" s="476">
        <f t="shared" si="1"/>
        <v>0</v>
      </c>
      <c r="L13" s="476">
        <f t="shared" si="1"/>
        <v>0</v>
      </c>
      <c r="M13" s="476">
        <f t="shared" si="1"/>
        <v>24417971</v>
      </c>
      <c r="N13" s="476">
        <f t="shared" si="1"/>
        <v>44091</v>
      </c>
      <c r="O13" s="476">
        <f t="shared" si="1"/>
        <v>0</v>
      </c>
      <c r="P13" s="476">
        <f t="shared" si="1"/>
        <v>0</v>
      </c>
      <c r="Q13" s="476">
        <f t="shared" si="1"/>
        <v>79742</v>
      </c>
      <c r="R13" s="476">
        <f t="shared" si="1"/>
        <v>637979971</v>
      </c>
      <c r="S13" s="461">
        <f t="shared" si="1"/>
        <v>662521775</v>
      </c>
      <c r="T13" s="474">
        <f aca="true" t="shared" si="2" ref="T13:T72">(J13+K13+L13)/I13</f>
        <v>0.06719829161601376</v>
      </c>
      <c r="U13" s="471"/>
    </row>
    <row r="14" spans="1:21" s="385" customFormat="1" ht="39.75" customHeight="1">
      <c r="A14" s="442" t="s">
        <v>43</v>
      </c>
      <c r="B14" s="443" t="s">
        <v>444</v>
      </c>
      <c r="C14" s="462">
        <f>D14+E14</f>
        <v>600</v>
      </c>
      <c r="D14" s="541"/>
      <c r="E14" s="488">
        <v>600</v>
      </c>
      <c r="F14" s="488"/>
      <c r="G14" s="488"/>
      <c r="H14" s="467">
        <f>C14-F14</f>
        <v>600</v>
      </c>
      <c r="I14" s="467">
        <f>H14-R14</f>
        <v>600</v>
      </c>
      <c r="J14" s="488">
        <v>200</v>
      </c>
      <c r="K14" s="488"/>
      <c r="L14" s="488"/>
      <c r="M14" s="542">
        <f>I14-N14-O14-P14-Q14-J14-K14-L14</f>
        <v>400</v>
      </c>
      <c r="N14" s="488"/>
      <c r="O14" s="488"/>
      <c r="P14" s="488"/>
      <c r="Q14" s="488"/>
      <c r="R14" s="489"/>
      <c r="S14" s="462">
        <f>H14-J14-K14-L14</f>
        <v>400</v>
      </c>
      <c r="T14" s="470">
        <f t="shared" si="2"/>
        <v>0.3333333333333333</v>
      </c>
      <c r="U14" s="471"/>
    </row>
    <row r="15" spans="1:21" s="385" customFormat="1" ht="39.75" customHeight="1">
      <c r="A15" s="442" t="s">
        <v>44</v>
      </c>
      <c r="B15" s="443" t="s">
        <v>447</v>
      </c>
      <c r="C15" s="462">
        <f aca="true" t="shared" si="3" ref="C15:C97">D15+E15</f>
        <v>165432</v>
      </c>
      <c r="D15" s="541">
        <v>450</v>
      </c>
      <c r="E15" s="488">
        <v>164982</v>
      </c>
      <c r="F15" s="488"/>
      <c r="G15" s="488"/>
      <c r="H15" s="467">
        <f aca="true" t="shared" si="4" ref="H15:H83">C15-F15</f>
        <v>165432</v>
      </c>
      <c r="I15" s="467">
        <f aca="true" t="shared" si="5" ref="I15:I97">H15-R15</f>
        <v>163877</v>
      </c>
      <c r="J15" s="488">
        <v>250</v>
      </c>
      <c r="K15" s="488"/>
      <c r="L15" s="488"/>
      <c r="M15" s="542">
        <f aca="true" t="shared" si="6" ref="M15:M97">I15-N15-O15-P15-Q15-J15-K15-L15</f>
        <v>163627</v>
      </c>
      <c r="N15" s="488"/>
      <c r="O15" s="488"/>
      <c r="P15" s="488"/>
      <c r="Q15" s="488"/>
      <c r="R15" s="489">
        <v>1555</v>
      </c>
      <c r="S15" s="462">
        <f aca="true" t="shared" si="7" ref="S15:S97">H15-J15-K15-L15</f>
        <v>165182</v>
      </c>
      <c r="T15" s="470">
        <f t="shared" si="2"/>
        <v>0.0015255343946984628</v>
      </c>
      <c r="U15" s="471"/>
    </row>
    <row r="16" spans="1:21" s="385" customFormat="1" ht="39.75" customHeight="1">
      <c r="A16" s="442" t="s">
        <v>49</v>
      </c>
      <c r="B16" s="443" t="s">
        <v>448</v>
      </c>
      <c r="C16" s="462">
        <f t="shared" si="3"/>
        <v>34512814</v>
      </c>
      <c r="D16" s="541">
        <v>33313767</v>
      </c>
      <c r="E16" s="488">
        <v>1199047</v>
      </c>
      <c r="F16" s="488"/>
      <c r="G16" s="488"/>
      <c r="H16" s="467">
        <f t="shared" si="4"/>
        <v>34512814</v>
      </c>
      <c r="I16" s="467">
        <f t="shared" si="5"/>
        <v>1093247</v>
      </c>
      <c r="J16" s="488"/>
      <c r="K16" s="488"/>
      <c r="L16" s="488"/>
      <c r="M16" s="542">
        <f t="shared" si="6"/>
        <v>1093247</v>
      </c>
      <c r="N16" s="488"/>
      <c r="O16" s="488"/>
      <c r="P16" s="488"/>
      <c r="Q16" s="488"/>
      <c r="R16" s="488">
        <v>33419567</v>
      </c>
      <c r="S16" s="462">
        <f t="shared" si="7"/>
        <v>34512814</v>
      </c>
      <c r="T16" s="470">
        <f t="shared" si="2"/>
        <v>0</v>
      </c>
      <c r="U16" s="471"/>
    </row>
    <row r="17" spans="1:21" s="385" customFormat="1" ht="39.75" customHeight="1">
      <c r="A17" s="442" t="s">
        <v>58</v>
      </c>
      <c r="B17" s="443" t="s">
        <v>561</v>
      </c>
      <c r="C17" s="462">
        <f t="shared" si="3"/>
        <v>13589</v>
      </c>
      <c r="D17" s="541">
        <v>13189</v>
      </c>
      <c r="E17" s="488">
        <v>400</v>
      </c>
      <c r="F17" s="488"/>
      <c r="G17" s="488"/>
      <c r="H17" s="467">
        <f t="shared" si="4"/>
        <v>13589</v>
      </c>
      <c r="I17" s="467">
        <f t="shared" si="5"/>
        <v>13589</v>
      </c>
      <c r="J17" s="488">
        <v>13389</v>
      </c>
      <c r="K17" s="488"/>
      <c r="L17" s="488"/>
      <c r="M17" s="542">
        <f t="shared" si="6"/>
        <v>200</v>
      </c>
      <c r="N17" s="488"/>
      <c r="O17" s="488"/>
      <c r="P17" s="488"/>
      <c r="Q17" s="488"/>
      <c r="R17" s="488"/>
      <c r="S17" s="462">
        <f t="shared" si="7"/>
        <v>200</v>
      </c>
      <c r="T17" s="470">
        <f t="shared" si="2"/>
        <v>0.9852822135550813</v>
      </c>
      <c r="U17" s="471"/>
    </row>
    <row r="18" spans="1:21" s="385" customFormat="1" ht="39.75" customHeight="1">
      <c r="A18" s="442" t="s">
        <v>59</v>
      </c>
      <c r="B18" s="443" t="s">
        <v>449</v>
      </c>
      <c r="C18" s="462">
        <f t="shared" si="3"/>
        <v>4702988</v>
      </c>
      <c r="D18" s="541">
        <v>4702988</v>
      </c>
      <c r="E18" s="488"/>
      <c r="F18" s="488"/>
      <c r="G18" s="488"/>
      <c r="H18" s="467">
        <f t="shared" si="4"/>
        <v>4702988</v>
      </c>
      <c r="I18" s="467">
        <f t="shared" si="5"/>
        <v>4702988</v>
      </c>
      <c r="J18" s="488"/>
      <c r="K18" s="488"/>
      <c r="L18" s="488"/>
      <c r="M18" s="542">
        <f t="shared" si="6"/>
        <v>4702988</v>
      </c>
      <c r="N18" s="488"/>
      <c r="O18" s="488"/>
      <c r="P18" s="488"/>
      <c r="Q18" s="488"/>
      <c r="R18" s="489"/>
      <c r="S18" s="462">
        <f t="shared" si="7"/>
        <v>4702988</v>
      </c>
      <c r="T18" s="470">
        <f t="shared" si="2"/>
        <v>0</v>
      </c>
      <c r="U18" s="471"/>
    </row>
    <row r="19" spans="1:21" s="385" customFormat="1" ht="39.75" customHeight="1">
      <c r="A19" s="442" t="s">
        <v>60</v>
      </c>
      <c r="B19" s="443" t="s">
        <v>450</v>
      </c>
      <c r="C19" s="462">
        <f t="shared" si="3"/>
        <v>2326900</v>
      </c>
      <c r="D19" s="541">
        <v>0</v>
      </c>
      <c r="E19" s="488">
        <v>2326900</v>
      </c>
      <c r="F19" s="488"/>
      <c r="G19" s="488"/>
      <c r="H19" s="467">
        <f t="shared" si="4"/>
        <v>2326900</v>
      </c>
      <c r="I19" s="467">
        <f t="shared" si="5"/>
        <v>2326900</v>
      </c>
      <c r="J19" s="488"/>
      <c r="K19" s="488"/>
      <c r="L19" s="488"/>
      <c r="M19" s="542">
        <f t="shared" si="6"/>
        <v>2326900</v>
      </c>
      <c r="N19" s="488"/>
      <c r="O19" s="488"/>
      <c r="P19" s="488"/>
      <c r="Q19" s="488"/>
      <c r="R19" s="489"/>
      <c r="S19" s="462">
        <f t="shared" si="7"/>
        <v>2326900</v>
      </c>
      <c r="T19" s="470">
        <f t="shared" si="2"/>
        <v>0</v>
      </c>
      <c r="U19" s="471"/>
    </row>
    <row r="20" spans="1:21" s="385" customFormat="1" ht="39.75" customHeight="1">
      <c r="A20" s="442" t="s">
        <v>61</v>
      </c>
      <c r="B20" s="443" t="s">
        <v>451</v>
      </c>
      <c r="C20" s="462">
        <f t="shared" si="3"/>
        <v>41495899</v>
      </c>
      <c r="D20" s="541">
        <v>41495499</v>
      </c>
      <c r="E20" s="488">
        <v>400</v>
      </c>
      <c r="F20" s="488">
        <v>62655</v>
      </c>
      <c r="G20" s="488"/>
      <c r="H20" s="467">
        <f t="shared" si="4"/>
        <v>41433244</v>
      </c>
      <c r="I20" s="467">
        <f t="shared" si="5"/>
        <v>11271754</v>
      </c>
      <c r="J20" s="488">
        <v>396700</v>
      </c>
      <c r="K20" s="488"/>
      <c r="L20" s="488"/>
      <c r="M20" s="542">
        <f t="shared" si="6"/>
        <v>10875054</v>
      </c>
      <c r="N20" s="488"/>
      <c r="O20" s="488"/>
      <c r="P20" s="488"/>
      <c r="Q20" s="488"/>
      <c r="R20" s="489">
        <v>30161490</v>
      </c>
      <c r="S20" s="462">
        <f t="shared" si="7"/>
        <v>41036544</v>
      </c>
      <c r="T20" s="470">
        <f t="shared" si="2"/>
        <v>0.03519416765128125</v>
      </c>
      <c r="U20" s="471"/>
    </row>
    <row r="21" spans="1:21" s="385" customFormat="1" ht="39.75" customHeight="1">
      <c r="A21" s="442" t="s">
        <v>62</v>
      </c>
      <c r="B21" s="443" t="s">
        <v>452</v>
      </c>
      <c r="C21" s="462">
        <f t="shared" si="3"/>
        <v>2862306</v>
      </c>
      <c r="D21" s="541">
        <v>2528706</v>
      </c>
      <c r="E21" s="488">
        <v>333600</v>
      </c>
      <c r="F21" s="488"/>
      <c r="G21" s="488"/>
      <c r="H21" s="467">
        <f t="shared" si="4"/>
        <v>2862306</v>
      </c>
      <c r="I21" s="467">
        <f t="shared" si="5"/>
        <v>1907533</v>
      </c>
      <c r="J21" s="488">
        <v>291900</v>
      </c>
      <c r="K21" s="488"/>
      <c r="L21" s="488"/>
      <c r="M21" s="542">
        <f t="shared" si="6"/>
        <v>1615633</v>
      </c>
      <c r="N21" s="488"/>
      <c r="O21" s="488"/>
      <c r="P21" s="488"/>
      <c r="Q21" s="488"/>
      <c r="R21" s="489">
        <v>954773</v>
      </c>
      <c r="S21" s="462">
        <f t="shared" si="7"/>
        <v>2570406</v>
      </c>
      <c r="T21" s="470">
        <f t="shared" si="2"/>
        <v>0.1530248755853765</v>
      </c>
      <c r="U21" s="471"/>
    </row>
    <row r="22" spans="1:21" s="385" customFormat="1" ht="39.75" customHeight="1">
      <c r="A22" s="442" t="s">
        <v>63</v>
      </c>
      <c r="B22" s="443" t="s">
        <v>443</v>
      </c>
      <c r="C22" s="462">
        <f t="shared" si="3"/>
        <v>3800461</v>
      </c>
      <c r="D22" s="541">
        <v>2811932</v>
      </c>
      <c r="E22" s="488">
        <v>988529</v>
      </c>
      <c r="F22" s="488"/>
      <c r="G22" s="488"/>
      <c r="H22" s="467">
        <f t="shared" si="4"/>
        <v>3800461</v>
      </c>
      <c r="I22" s="467">
        <f t="shared" si="5"/>
        <v>3190271</v>
      </c>
      <c r="J22" s="488">
        <v>865897</v>
      </c>
      <c r="K22" s="488"/>
      <c r="L22" s="488"/>
      <c r="M22" s="542">
        <f t="shared" si="6"/>
        <v>2324374</v>
      </c>
      <c r="N22" s="488"/>
      <c r="O22" s="488"/>
      <c r="P22" s="488"/>
      <c r="Q22" s="488"/>
      <c r="R22" s="489">
        <v>610190</v>
      </c>
      <c r="S22" s="462">
        <f t="shared" si="7"/>
        <v>2934564</v>
      </c>
      <c r="T22" s="470">
        <f t="shared" si="2"/>
        <v>0.27141800806263794</v>
      </c>
      <c r="U22" s="471"/>
    </row>
    <row r="23" spans="1:21" s="385" customFormat="1" ht="39.75" customHeight="1">
      <c r="A23" s="442" t="s">
        <v>83</v>
      </c>
      <c r="B23" s="443" t="s">
        <v>453</v>
      </c>
      <c r="C23" s="462">
        <f t="shared" si="3"/>
        <v>13872521</v>
      </c>
      <c r="D23" s="541">
        <v>13871921</v>
      </c>
      <c r="E23" s="488">
        <v>600</v>
      </c>
      <c r="F23" s="488"/>
      <c r="G23" s="488"/>
      <c r="H23" s="467">
        <f t="shared" si="4"/>
        <v>13872521</v>
      </c>
      <c r="I23" s="467">
        <f t="shared" si="5"/>
        <v>110584</v>
      </c>
      <c r="J23" s="488"/>
      <c r="K23" s="488"/>
      <c r="L23" s="488"/>
      <c r="M23" s="542">
        <f t="shared" si="6"/>
        <v>110584</v>
      </c>
      <c r="N23" s="488"/>
      <c r="O23" s="488"/>
      <c r="P23" s="488"/>
      <c r="Q23" s="488"/>
      <c r="R23" s="489">
        <v>13761937</v>
      </c>
      <c r="S23" s="462">
        <f t="shared" si="7"/>
        <v>13872521</v>
      </c>
      <c r="T23" s="470">
        <f t="shared" si="2"/>
        <v>0</v>
      </c>
      <c r="U23" s="471"/>
    </row>
    <row r="24" spans="1:21" s="385" customFormat="1" ht="39.75" customHeight="1">
      <c r="A24" s="442" t="s">
        <v>84</v>
      </c>
      <c r="B24" s="443" t="s">
        <v>563</v>
      </c>
      <c r="C24" s="462">
        <f t="shared" si="3"/>
        <v>200</v>
      </c>
      <c r="D24" s="541"/>
      <c r="E24" s="488">
        <v>200</v>
      </c>
      <c r="F24" s="488"/>
      <c r="G24" s="488"/>
      <c r="H24" s="467">
        <f t="shared" si="4"/>
        <v>200</v>
      </c>
      <c r="I24" s="467">
        <f t="shared" si="5"/>
        <v>200</v>
      </c>
      <c r="J24" s="488">
        <v>200</v>
      </c>
      <c r="K24" s="488"/>
      <c r="L24" s="488"/>
      <c r="M24" s="542">
        <f t="shared" si="6"/>
        <v>0</v>
      </c>
      <c r="N24" s="488"/>
      <c r="O24" s="488"/>
      <c r="P24" s="488"/>
      <c r="Q24" s="488"/>
      <c r="R24" s="489"/>
      <c r="S24" s="462">
        <f t="shared" si="7"/>
        <v>0</v>
      </c>
      <c r="T24" s="470">
        <f t="shared" si="2"/>
        <v>1</v>
      </c>
      <c r="U24" s="471"/>
    </row>
    <row r="25" spans="1:21" s="385" customFormat="1" ht="39.75" customHeight="1">
      <c r="A25" s="442" t="s">
        <v>85</v>
      </c>
      <c r="B25" s="443" t="s">
        <v>454</v>
      </c>
      <c r="C25" s="462">
        <f t="shared" si="3"/>
        <v>834494</v>
      </c>
      <c r="D25" s="541">
        <v>735365</v>
      </c>
      <c r="E25" s="488">
        <v>99129</v>
      </c>
      <c r="F25" s="488"/>
      <c r="G25" s="488"/>
      <c r="H25" s="467">
        <f t="shared" si="4"/>
        <v>834494</v>
      </c>
      <c r="I25" s="467">
        <f t="shared" si="5"/>
        <v>143221</v>
      </c>
      <c r="J25" s="488">
        <v>200</v>
      </c>
      <c r="K25" s="488"/>
      <c r="L25" s="488"/>
      <c r="M25" s="542">
        <f t="shared" si="6"/>
        <v>98930</v>
      </c>
      <c r="N25" s="488">
        <v>44091</v>
      </c>
      <c r="O25" s="488"/>
      <c r="P25" s="488"/>
      <c r="Q25" s="488"/>
      <c r="R25" s="489">
        <v>691273</v>
      </c>
      <c r="S25" s="462">
        <f t="shared" si="7"/>
        <v>834294</v>
      </c>
      <c r="T25" s="470">
        <f t="shared" si="2"/>
        <v>0.0013964432590192778</v>
      </c>
      <c r="U25" s="471"/>
    </row>
    <row r="26" spans="1:21" s="385" customFormat="1" ht="39.75" customHeight="1">
      <c r="A26" s="442" t="s">
        <v>86</v>
      </c>
      <c r="B26" s="443" t="s">
        <v>455</v>
      </c>
      <c r="C26" s="462">
        <f t="shared" si="3"/>
        <v>1340261</v>
      </c>
      <c r="D26" s="541">
        <v>1339661</v>
      </c>
      <c r="E26" s="488">
        <v>600</v>
      </c>
      <c r="F26" s="488">
        <v>612108</v>
      </c>
      <c r="G26" s="488"/>
      <c r="H26" s="467">
        <f t="shared" si="4"/>
        <v>728153</v>
      </c>
      <c r="I26" s="467">
        <f t="shared" si="5"/>
        <v>421665</v>
      </c>
      <c r="J26" s="488">
        <v>196494</v>
      </c>
      <c r="K26" s="488"/>
      <c r="L26" s="488"/>
      <c r="M26" s="542">
        <f t="shared" si="6"/>
        <v>145429</v>
      </c>
      <c r="N26" s="488"/>
      <c r="O26" s="488"/>
      <c r="P26" s="488"/>
      <c r="Q26" s="488">
        <v>79742</v>
      </c>
      <c r="R26" s="489">
        <v>306488</v>
      </c>
      <c r="S26" s="462">
        <f t="shared" si="7"/>
        <v>531659</v>
      </c>
      <c r="T26" s="470">
        <f t="shared" si="2"/>
        <v>0.46599551776884496</v>
      </c>
      <c r="U26" s="471"/>
    </row>
    <row r="27" spans="1:21" s="385" customFormat="1" ht="39.75" customHeight="1">
      <c r="A27" s="442" t="s">
        <v>87</v>
      </c>
      <c r="B27" s="443" t="s">
        <v>456</v>
      </c>
      <c r="C27" s="462">
        <f t="shared" si="3"/>
        <v>559036425</v>
      </c>
      <c r="D27" s="541">
        <v>559033303</v>
      </c>
      <c r="E27" s="488">
        <v>3122</v>
      </c>
      <c r="F27" s="488">
        <v>380</v>
      </c>
      <c r="G27" s="488"/>
      <c r="H27" s="467">
        <f t="shared" si="4"/>
        <v>559036045</v>
      </c>
      <c r="I27" s="467">
        <f t="shared" si="5"/>
        <v>963347</v>
      </c>
      <c r="J27" s="488">
        <v>2742</v>
      </c>
      <c r="K27" s="488"/>
      <c r="L27" s="488"/>
      <c r="M27" s="542">
        <f t="shared" si="6"/>
        <v>960605</v>
      </c>
      <c r="N27" s="488"/>
      <c r="O27" s="488"/>
      <c r="P27" s="488"/>
      <c r="Q27" s="488"/>
      <c r="R27" s="489">
        <v>558072698</v>
      </c>
      <c r="S27" s="462">
        <f t="shared" si="7"/>
        <v>559033303</v>
      </c>
      <c r="T27" s="470">
        <f t="shared" si="2"/>
        <v>0.002846326401597763</v>
      </c>
      <c r="U27" s="471"/>
    </row>
    <row r="28" spans="1:21" s="385" customFormat="1" ht="39.75" customHeight="1">
      <c r="A28" s="428" t="s">
        <v>1</v>
      </c>
      <c r="B28" s="429" t="s">
        <v>17</v>
      </c>
      <c r="C28" s="461">
        <f t="shared" si="3"/>
        <v>1641799114</v>
      </c>
      <c r="D28" s="543">
        <f aca="true" t="shared" si="8" ref="D28:S28">D29+D39+D49+D52+D57+D65+D71+D75+D82+D87+D91+D95</f>
        <v>1454163398</v>
      </c>
      <c r="E28" s="543">
        <f t="shared" si="8"/>
        <v>187635716</v>
      </c>
      <c r="F28" s="543">
        <f t="shared" si="8"/>
        <v>4136406</v>
      </c>
      <c r="G28" s="543">
        <f t="shared" si="8"/>
        <v>0</v>
      </c>
      <c r="H28" s="543">
        <f t="shared" si="8"/>
        <v>1637662708</v>
      </c>
      <c r="I28" s="543">
        <f t="shared" si="8"/>
        <v>837951867</v>
      </c>
      <c r="J28" s="543">
        <f t="shared" si="8"/>
        <v>89277448</v>
      </c>
      <c r="K28" s="543">
        <f t="shared" si="8"/>
        <v>60289268</v>
      </c>
      <c r="L28" s="543">
        <f t="shared" si="8"/>
        <v>47915</v>
      </c>
      <c r="M28" s="543">
        <f t="shared" si="8"/>
        <v>671551720</v>
      </c>
      <c r="N28" s="543">
        <f t="shared" si="8"/>
        <v>10723262</v>
      </c>
      <c r="O28" s="543">
        <f t="shared" si="8"/>
        <v>1147879</v>
      </c>
      <c r="P28" s="543">
        <f t="shared" si="8"/>
        <v>2000409</v>
      </c>
      <c r="Q28" s="543">
        <f t="shared" si="8"/>
        <v>2913966</v>
      </c>
      <c r="R28" s="543">
        <f t="shared" si="8"/>
        <v>799710841</v>
      </c>
      <c r="S28" s="461">
        <f t="shared" si="8"/>
        <v>1488048077</v>
      </c>
      <c r="T28" s="470">
        <f t="shared" si="2"/>
        <v>0.17854800125411022</v>
      </c>
      <c r="U28" s="471"/>
    </row>
    <row r="29" spans="1:21" s="385" customFormat="1" ht="39.75" customHeight="1">
      <c r="A29" s="442" t="s">
        <v>43</v>
      </c>
      <c r="B29" s="444" t="s">
        <v>559</v>
      </c>
      <c r="C29" s="462">
        <f t="shared" si="3"/>
        <v>556140193</v>
      </c>
      <c r="D29" s="467">
        <f>D30+D31+D32+D33+D34+D35+D36+D37+D38</f>
        <v>529111745</v>
      </c>
      <c r="E29" s="467">
        <f aca="true" t="shared" si="9" ref="E29:R29">E30+E31+E32+E33+E34+E35+E36+E37+E38</f>
        <v>27028448</v>
      </c>
      <c r="F29" s="467">
        <f t="shared" si="9"/>
        <v>63984</v>
      </c>
      <c r="G29" s="467">
        <f t="shared" si="9"/>
        <v>0</v>
      </c>
      <c r="H29" s="467">
        <f t="shared" si="9"/>
        <v>556076209</v>
      </c>
      <c r="I29" s="467">
        <f t="shared" si="9"/>
        <v>279520274</v>
      </c>
      <c r="J29" s="467">
        <f t="shared" si="9"/>
        <v>36876405</v>
      </c>
      <c r="K29" s="467">
        <f t="shared" si="9"/>
        <v>21781956</v>
      </c>
      <c r="L29" s="467">
        <f t="shared" si="9"/>
        <v>14121</v>
      </c>
      <c r="M29" s="467">
        <f t="shared" si="9"/>
        <v>209060458</v>
      </c>
      <c r="N29" s="467">
        <f t="shared" si="9"/>
        <v>8419238</v>
      </c>
      <c r="O29" s="467">
        <f t="shared" si="9"/>
        <v>604499</v>
      </c>
      <c r="P29" s="467">
        <f t="shared" si="9"/>
        <v>0</v>
      </c>
      <c r="Q29" s="467">
        <f t="shared" si="9"/>
        <v>2763597</v>
      </c>
      <c r="R29" s="467">
        <f t="shared" si="9"/>
        <v>276555935</v>
      </c>
      <c r="S29" s="462">
        <f>H29-J29-K29-L29</f>
        <v>497403727</v>
      </c>
      <c r="T29" s="470">
        <f t="shared" si="2"/>
        <v>0.2099042089519417</v>
      </c>
      <c r="U29" s="473" t="s">
        <v>572</v>
      </c>
    </row>
    <row r="30" spans="1:21" s="385" customFormat="1" ht="39.75" customHeight="1">
      <c r="A30" s="430" t="s">
        <v>45</v>
      </c>
      <c r="B30" s="434" t="s">
        <v>568</v>
      </c>
      <c r="C30" s="462">
        <f t="shared" si="3"/>
        <v>11325933</v>
      </c>
      <c r="D30" s="544">
        <v>3994186</v>
      </c>
      <c r="E30" s="490">
        <v>7331747</v>
      </c>
      <c r="F30" s="490">
        <v>0</v>
      </c>
      <c r="G30" s="490"/>
      <c r="H30" s="467">
        <f t="shared" si="4"/>
        <v>11325933</v>
      </c>
      <c r="I30" s="467">
        <f t="shared" si="5"/>
        <v>9540691</v>
      </c>
      <c r="J30" s="490">
        <v>3411897</v>
      </c>
      <c r="K30" s="490">
        <v>1404884</v>
      </c>
      <c r="L30" s="490"/>
      <c r="M30" s="542">
        <f t="shared" si="6"/>
        <v>4723910</v>
      </c>
      <c r="N30" s="490">
        <v>0</v>
      </c>
      <c r="O30" s="490"/>
      <c r="P30" s="490"/>
      <c r="Q30" s="490"/>
      <c r="R30" s="491">
        <v>1785242</v>
      </c>
      <c r="S30" s="462">
        <f t="shared" si="7"/>
        <v>6509152</v>
      </c>
      <c r="T30" s="470">
        <f t="shared" si="2"/>
        <v>0.504867100297033</v>
      </c>
      <c r="U30" s="471"/>
    </row>
    <row r="31" spans="1:21" s="385" customFormat="1" ht="39.75" customHeight="1">
      <c r="A31" s="430" t="s">
        <v>46</v>
      </c>
      <c r="B31" s="434" t="s">
        <v>459</v>
      </c>
      <c r="C31" s="462">
        <f t="shared" si="3"/>
        <v>189838558</v>
      </c>
      <c r="D31" s="544">
        <v>186865309</v>
      </c>
      <c r="E31" s="490">
        <v>2973249</v>
      </c>
      <c r="F31" s="490">
        <v>0</v>
      </c>
      <c r="G31" s="490"/>
      <c r="H31" s="467">
        <f t="shared" si="4"/>
        <v>189838558</v>
      </c>
      <c r="I31" s="467">
        <f t="shared" si="5"/>
        <v>50866076</v>
      </c>
      <c r="J31" s="490">
        <v>8176146</v>
      </c>
      <c r="K31" s="490">
        <v>217084</v>
      </c>
      <c r="L31" s="490"/>
      <c r="M31" s="542">
        <f t="shared" si="6"/>
        <v>42210973</v>
      </c>
      <c r="N31" s="490">
        <v>229833</v>
      </c>
      <c r="O31" s="490">
        <v>0</v>
      </c>
      <c r="P31" s="490"/>
      <c r="Q31" s="490">
        <v>32040</v>
      </c>
      <c r="R31" s="491">
        <v>138972482</v>
      </c>
      <c r="S31" s="462">
        <f t="shared" si="7"/>
        <v>181445328</v>
      </c>
      <c r="T31" s="470">
        <f t="shared" si="2"/>
        <v>0.1650064376894337</v>
      </c>
      <c r="U31" s="471"/>
    </row>
    <row r="32" spans="1:21" s="385" customFormat="1" ht="39.75" customHeight="1">
      <c r="A32" s="430" t="s">
        <v>104</v>
      </c>
      <c r="B32" s="434" t="s">
        <v>460</v>
      </c>
      <c r="C32" s="462">
        <f t="shared" si="3"/>
        <v>45109805</v>
      </c>
      <c r="D32" s="544">
        <v>44217357</v>
      </c>
      <c r="E32" s="490">
        <v>892448</v>
      </c>
      <c r="F32" s="490">
        <v>0</v>
      </c>
      <c r="G32" s="490"/>
      <c r="H32" s="467">
        <f t="shared" si="4"/>
        <v>45109805</v>
      </c>
      <c r="I32" s="467">
        <f t="shared" si="5"/>
        <v>12633899</v>
      </c>
      <c r="J32" s="490">
        <v>1627557</v>
      </c>
      <c r="K32" s="490">
        <v>2194889</v>
      </c>
      <c r="L32" s="490"/>
      <c r="M32" s="542">
        <f t="shared" si="6"/>
        <v>6849004</v>
      </c>
      <c r="N32" s="490">
        <v>10635</v>
      </c>
      <c r="O32" s="490"/>
      <c r="P32" s="490"/>
      <c r="Q32" s="490">
        <v>1951814</v>
      </c>
      <c r="R32" s="491">
        <v>32475906</v>
      </c>
      <c r="S32" s="462">
        <f t="shared" si="7"/>
        <v>41287359</v>
      </c>
      <c r="T32" s="470">
        <f t="shared" si="2"/>
        <v>0.30255473785250303</v>
      </c>
      <c r="U32" s="471"/>
    </row>
    <row r="33" spans="1:21" s="385" customFormat="1" ht="39.75" customHeight="1">
      <c r="A33" s="430" t="s">
        <v>106</v>
      </c>
      <c r="B33" s="434" t="s">
        <v>462</v>
      </c>
      <c r="C33" s="462">
        <f t="shared" si="3"/>
        <v>23963905</v>
      </c>
      <c r="D33" s="544">
        <v>22381179</v>
      </c>
      <c r="E33" s="490">
        <v>1582726</v>
      </c>
      <c r="F33" s="490">
        <v>0</v>
      </c>
      <c r="G33" s="490"/>
      <c r="H33" s="467">
        <f t="shared" si="4"/>
        <v>23963905</v>
      </c>
      <c r="I33" s="467">
        <f t="shared" si="5"/>
        <v>18410149</v>
      </c>
      <c r="J33" s="490">
        <v>125920</v>
      </c>
      <c r="K33" s="490">
        <v>925</v>
      </c>
      <c r="L33" s="490"/>
      <c r="M33" s="542">
        <f t="shared" si="6"/>
        <v>18282348</v>
      </c>
      <c r="N33" s="490">
        <v>0</v>
      </c>
      <c r="O33" s="490"/>
      <c r="P33" s="490"/>
      <c r="Q33" s="490">
        <v>956</v>
      </c>
      <c r="R33" s="491">
        <v>5553756</v>
      </c>
      <c r="S33" s="462">
        <f t="shared" si="7"/>
        <v>23837060</v>
      </c>
      <c r="T33" s="470">
        <f t="shared" si="2"/>
        <v>0.006889949668522509</v>
      </c>
      <c r="U33" s="471"/>
    </row>
    <row r="34" spans="1:21" s="385" customFormat="1" ht="39.75" customHeight="1">
      <c r="A34" s="430" t="s">
        <v>107</v>
      </c>
      <c r="B34" s="434" t="s">
        <v>463</v>
      </c>
      <c r="C34" s="462">
        <f t="shared" si="3"/>
        <v>36054505</v>
      </c>
      <c r="D34" s="544">
        <v>33580178</v>
      </c>
      <c r="E34" s="490">
        <v>2474327</v>
      </c>
      <c r="F34" s="490">
        <v>760</v>
      </c>
      <c r="G34" s="490"/>
      <c r="H34" s="467">
        <f t="shared" si="4"/>
        <v>36053745</v>
      </c>
      <c r="I34" s="467">
        <f t="shared" si="5"/>
        <v>16636724</v>
      </c>
      <c r="J34" s="490">
        <v>214883</v>
      </c>
      <c r="K34" s="490">
        <v>0</v>
      </c>
      <c r="L34" s="490">
        <v>0</v>
      </c>
      <c r="M34" s="542">
        <f t="shared" si="6"/>
        <v>10449960</v>
      </c>
      <c r="N34" s="490">
        <v>5820145</v>
      </c>
      <c r="O34" s="490"/>
      <c r="P34" s="490"/>
      <c r="Q34" s="490">
        <v>151736</v>
      </c>
      <c r="R34" s="491">
        <v>19417021</v>
      </c>
      <c r="S34" s="462">
        <f t="shared" si="7"/>
        <v>35838862</v>
      </c>
      <c r="T34" s="470">
        <f t="shared" si="2"/>
        <v>0.012916184700786044</v>
      </c>
      <c r="U34" s="471"/>
    </row>
    <row r="35" spans="1:21" s="385" customFormat="1" ht="39.75" customHeight="1">
      <c r="A35" s="430" t="s">
        <v>109</v>
      </c>
      <c r="B35" s="434" t="s">
        <v>464</v>
      </c>
      <c r="C35" s="462">
        <f t="shared" si="3"/>
        <v>23627502</v>
      </c>
      <c r="D35" s="544">
        <v>19757376</v>
      </c>
      <c r="E35" s="490">
        <v>3870126</v>
      </c>
      <c r="F35" s="490">
        <v>0</v>
      </c>
      <c r="G35" s="490">
        <v>0</v>
      </c>
      <c r="H35" s="467">
        <f t="shared" si="4"/>
        <v>23627502</v>
      </c>
      <c r="I35" s="467">
        <f t="shared" si="5"/>
        <v>17222284</v>
      </c>
      <c r="J35" s="490">
        <v>2435877</v>
      </c>
      <c r="K35" s="490">
        <v>1661357</v>
      </c>
      <c r="L35" s="490">
        <v>5520</v>
      </c>
      <c r="M35" s="542">
        <f t="shared" si="6"/>
        <v>10760905</v>
      </c>
      <c r="N35" s="490">
        <v>2358625</v>
      </c>
      <c r="O35" s="490">
        <v>0</v>
      </c>
      <c r="P35" s="490">
        <v>0</v>
      </c>
      <c r="Q35" s="490">
        <v>0</v>
      </c>
      <c r="R35" s="491">
        <v>6405218</v>
      </c>
      <c r="S35" s="462">
        <f t="shared" si="7"/>
        <v>19524748</v>
      </c>
      <c r="T35" s="470">
        <f t="shared" si="2"/>
        <v>0.23822357127544755</v>
      </c>
      <c r="U35" s="471"/>
    </row>
    <row r="36" spans="1:21" s="385" customFormat="1" ht="39.75" customHeight="1">
      <c r="A36" s="430" t="s">
        <v>110</v>
      </c>
      <c r="B36" s="434" t="s">
        <v>465</v>
      </c>
      <c r="C36" s="462">
        <f t="shared" si="3"/>
        <v>137670070</v>
      </c>
      <c r="D36" s="544">
        <v>135965778</v>
      </c>
      <c r="E36" s="490">
        <v>1704292</v>
      </c>
      <c r="F36" s="490">
        <v>0</v>
      </c>
      <c r="G36" s="490"/>
      <c r="H36" s="467">
        <f t="shared" si="4"/>
        <v>137670070</v>
      </c>
      <c r="I36" s="467">
        <f t="shared" si="5"/>
        <v>96993844</v>
      </c>
      <c r="J36" s="490">
        <v>1007657</v>
      </c>
      <c r="K36" s="490">
        <v>15596593</v>
      </c>
      <c r="L36" s="490">
        <v>8601</v>
      </c>
      <c r="M36" s="542">
        <f t="shared" si="6"/>
        <v>79149443</v>
      </c>
      <c r="N36" s="490">
        <v>0</v>
      </c>
      <c r="O36" s="490">
        <v>604499</v>
      </c>
      <c r="P36" s="490"/>
      <c r="Q36" s="490">
        <v>627051</v>
      </c>
      <c r="R36" s="491">
        <v>40676226</v>
      </c>
      <c r="S36" s="462">
        <f t="shared" si="7"/>
        <v>121057219</v>
      </c>
      <c r="T36" s="470">
        <f t="shared" si="2"/>
        <v>0.17127737508784577</v>
      </c>
      <c r="U36" s="471"/>
    </row>
    <row r="37" spans="1:21" s="385" customFormat="1" ht="39.75" customHeight="1">
      <c r="A37" s="430" t="s">
        <v>122</v>
      </c>
      <c r="B37" s="434" t="s">
        <v>466</v>
      </c>
      <c r="C37" s="462">
        <f t="shared" si="3"/>
        <v>88549915</v>
      </c>
      <c r="D37" s="544">
        <v>82350382</v>
      </c>
      <c r="E37" s="490">
        <v>6199533</v>
      </c>
      <c r="F37" s="490">
        <v>63224</v>
      </c>
      <c r="G37" s="490"/>
      <c r="H37" s="467">
        <f t="shared" si="4"/>
        <v>88486691</v>
      </c>
      <c r="I37" s="467">
        <f t="shared" si="5"/>
        <v>57216607</v>
      </c>
      <c r="J37" s="490">
        <v>19876468</v>
      </c>
      <c r="K37" s="490">
        <v>706224</v>
      </c>
      <c r="L37" s="490"/>
      <c r="M37" s="542">
        <f t="shared" si="6"/>
        <v>36633915</v>
      </c>
      <c r="N37" s="490"/>
      <c r="O37" s="490"/>
      <c r="P37" s="490">
        <v>0</v>
      </c>
      <c r="Q37" s="490">
        <v>0</v>
      </c>
      <c r="R37" s="491">
        <v>31270084</v>
      </c>
      <c r="S37" s="462">
        <f t="shared" si="7"/>
        <v>67903999</v>
      </c>
      <c r="T37" s="470">
        <f t="shared" si="2"/>
        <v>0.3597328307146909</v>
      </c>
      <c r="U37" s="471"/>
    </row>
    <row r="38" spans="1:21" s="385" customFormat="1" ht="39.75" customHeight="1">
      <c r="A38" s="430"/>
      <c r="B38" s="434"/>
      <c r="C38" s="462">
        <f t="shared" si="3"/>
        <v>0</v>
      </c>
      <c r="D38" s="545"/>
      <c r="E38" s="546"/>
      <c r="F38" s="545"/>
      <c r="G38" s="545"/>
      <c r="H38" s="467">
        <f t="shared" si="4"/>
        <v>0</v>
      </c>
      <c r="I38" s="467">
        <f t="shared" si="5"/>
        <v>0</v>
      </c>
      <c r="J38" s="545"/>
      <c r="K38" s="545"/>
      <c r="L38" s="545"/>
      <c r="M38" s="542">
        <f t="shared" si="6"/>
        <v>0</v>
      </c>
      <c r="N38" s="546"/>
      <c r="O38" s="546"/>
      <c r="P38" s="546"/>
      <c r="Q38" s="546"/>
      <c r="R38" s="547"/>
      <c r="S38" s="462">
        <f t="shared" si="7"/>
        <v>0</v>
      </c>
      <c r="T38" s="470"/>
      <c r="U38" s="471"/>
    </row>
    <row r="39" spans="1:21" s="385" customFormat="1" ht="39.75" customHeight="1">
      <c r="A39" s="432" t="s">
        <v>44</v>
      </c>
      <c r="B39" s="433" t="s">
        <v>558</v>
      </c>
      <c r="C39" s="462">
        <f t="shared" si="3"/>
        <v>297355964</v>
      </c>
      <c r="D39" s="467">
        <f>D40+D41+D42+D43+D44+D45+D46+D47+D48</f>
        <v>266409930</v>
      </c>
      <c r="E39" s="467">
        <f aca="true" t="shared" si="10" ref="E39:R39">E40+E41+E42+E43+E44+E45+E46+E47+E48</f>
        <v>30946034</v>
      </c>
      <c r="F39" s="467">
        <f t="shared" si="10"/>
        <v>780119</v>
      </c>
      <c r="G39" s="467">
        <f t="shared" si="10"/>
        <v>0</v>
      </c>
      <c r="H39" s="467">
        <f t="shared" si="4"/>
        <v>296575845</v>
      </c>
      <c r="I39" s="467">
        <f t="shared" si="5"/>
        <v>133673000</v>
      </c>
      <c r="J39" s="467">
        <f t="shared" si="10"/>
        <v>2309460</v>
      </c>
      <c r="K39" s="467">
        <f t="shared" si="10"/>
        <v>21071132</v>
      </c>
      <c r="L39" s="467">
        <f t="shared" si="10"/>
        <v>0</v>
      </c>
      <c r="M39" s="467">
        <f t="shared" si="10"/>
        <v>110292408</v>
      </c>
      <c r="N39" s="467">
        <f t="shared" si="10"/>
        <v>0</v>
      </c>
      <c r="O39" s="467">
        <f t="shared" si="10"/>
        <v>0</v>
      </c>
      <c r="P39" s="467">
        <f t="shared" si="10"/>
        <v>0</v>
      </c>
      <c r="Q39" s="467">
        <f t="shared" si="10"/>
        <v>0</v>
      </c>
      <c r="R39" s="467">
        <f t="shared" si="10"/>
        <v>162902845</v>
      </c>
      <c r="S39" s="462">
        <f t="shared" si="7"/>
        <v>273195253</v>
      </c>
      <c r="T39" s="470">
        <f t="shared" si="2"/>
        <v>0.17490885967996528</v>
      </c>
      <c r="U39" s="471"/>
    </row>
    <row r="40" spans="1:21" s="385" customFormat="1" ht="39.75" customHeight="1">
      <c r="A40" s="430" t="s">
        <v>47</v>
      </c>
      <c r="B40" s="434" t="s">
        <v>468</v>
      </c>
      <c r="C40" s="482">
        <f>86303079+67577</f>
        <v>86370656</v>
      </c>
      <c r="D40" s="485">
        <v>85244559</v>
      </c>
      <c r="E40" s="485">
        <f>C40-D40</f>
        <v>1126097</v>
      </c>
      <c r="F40" s="485">
        <f>662340+62125+30493</f>
        <v>754958</v>
      </c>
      <c r="G40" s="485"/>
      <c r="H40" s="467">
        <f t="shared" si="4"/>
        <v>85615698</v>
      </c>
      <c r="I40" s="467">
        <f t="shared" si="5"/>
        <v>13620102</v>
      </c>
      <c r="J40" s="485">
        <f>172915+45208+200+3350+27814</f>
        <v>249487</v>
      </c>
      <c r="K40" s="548"/>
      <c r="L40" s="549"/>
      <c r="M40" s="542">
        <f t="shared" si="6"/>
        <v>13370615</v>
      </c>
      <c r="N40" s="484"/>
      <c r="O40" s="550"/>
      <c r="P40" s="485"/>
      <c r="Q40" s="485"/>
      <c r="R40" s="485">
        <f>71979116+16480</f>
        <v>71995596</v>
      </c>
      <c r="S40" s="462">
        <f t="shared" si="7"/>
        <v>85366211</v>
      </c>
      <c r="T40" s="470">
        <f t="shared" si="2"/>
        <v>0.01831755738686832</v>
      </c>
      <c r="U40" s="471"/>
    </row>
    <row r="41" spans="1:21" s="385" customFormat="1" ht="39.75" customHeight="1">
      <c r="A41" s="430" t="s">
        <v>48</v>
      </c>
      <c r="B41" s="434" t="s">
        <v>469</v>
      </c>
      <c r="C41" s="482">
        <v>21750220</v>
      </c>
      <c r="D41" s="485">
        <v>18717859</v>
      </c>
      <c r="E41" s="485">
        <f aca="true" t="shared" si="11" ref="E41:E48">C41-D41</f>
        <v>3032361</v>
      </c>
      <c r="F41" s="485"/>
      <c r="G41" s="485"/>
      <c r="H41" s="467">
        <f t="shared" si="4"/>
        <v>21750220</v>
      </c>
      <c r="I41" s="467">
        <f t="shared" si="5"/>
        <v>19051121</v>
      </c>
      <c r="J41" s="485">
        <v>71341</v>
      </c>
      <c r="K41" s="548">
        <v>11068458</v>
      </c>
      <c r="L41" s="549"/>
      <c r="M41" s="542">
        <f t="shared" si="6"/>
        <v>7911322</v>
      </c>
      <c r="N41" s="484"/>
      <c r="O41" s="550"/>
      <c r="P41" s="485"/>
      <c r="Q41" s="485"/>
      <c r="R41" s="485">
        <v>2699099</v>
      </c>
      <c r="S41" s="462">
        <f t="shared" si="7"/>
        <v>10610421</v>
      </c>
      <c r="T41" s="470">
        <f t="shared" si="2"/>
        <v>0.5847319430704366</v>
      </c>
      <c r="U41" s="471"/>
    </row>
    <row r="42" spans="1:21" s="385" customFormat="1" ht="39.75" customHeight="1">
      <c r="A42" s="430" t="s">
        <v>470</v>
      </c>
      <c r="B42" s="434" t="s">
        <v>471</v>
      </c>
      <c r="C42" s="482">
        <f>80504529+339773</f>
        <v>80844302</v>
      </c>
      <c r="D42" s="485">
        <v>69476036</v>
      </c>
      <c r="E42" s="485">
        <f t="shared" si="11"/>
        <v>11368266</v>
      </c>
      <c r="F42" s="485"/>
      <c r="G42" s="485"/>
      <c r="H42" s="467">
        <f t="shared" si="4"/>
        <v>80844302</v>
      </c>
      <c r="I42" s="467">
        <f t="shared" si="5"/>
        <v>34424622</v>
      </c>
      <c r="J42" s="485">
        <f>235249+140268</f>
        <v>375517</v>
      </c>
      <c r="K42" s="548"/>
      <c r="L42" s="549"/>
      <c r="M42" s="542">
        <f t="shared" si="6"/>
        <v>34049105</v>
      </c>
      <c r="N42" s="484"/>
      <c r="O42" s="550"/>
      <c r="P42" s="485"/>
      <c r="Q42" s="485"/>
      <c r="R42" s="485">
        <v>46419680</v>
      </c>
      <c r="S42" s="462">
        <f t="shared" si="7"/>
        <v>80468785</v>
      </c>
      <c r="T42" s="470">
        <f t="shared" si="2"/>
        <v>0.010908384121109595</v>
      </c>
      <c r="U42" s="471"/>
    </row>
    <row r="43" spans="1:21" s="385" customFormat="1" ht="39.75" customHeight="1">
      <c r="A43" s="430" t="s">
        <v>472</v>
      </c>
      <c r="B43" s="434" t="s">
        <v>473</v>
      </c>
      <c r="C43" s="482">
        <v>21509654</v>
      </c>
      <c r="D43" s="485">
        <v>20682440</v>
      </c>
      <c r="E43" s="485">
        <f t="shared" si="11"/>
        <v>827214</v>
      </c>
      <c r="F43" s="485"/>
      <c r="G43" s="485"/>
      <c r="H43" s="467">
        <f t="shared" si="4"/>
        <v>21509654</v>
      </c>
      <c r="I43" s="467">
        <f t="shared" si="5"/>
        <v>8401724</v>
      </c>
      <c r="J43" s="485">
        <v>222085</v>
      </c>
      <c r="K43" s="548"/>
      <c r="L43" s="551"/>
      <c r="M43" s="542">
        <f t="shared" si="6"/>
        <v>8179639</v>
      </c>
      <c r="N43" s="484"/>
      <c r="O43" s="550"/>
      <c r="P43" s="485"/>
      <c r="Q43" s="485"/>
      <c r="R43" s="485">
        <v>13107930</v>
      </c>
      <c r="S43" s="462">
        <f t="shared" si="7"/>
        <v>21287569</v>
      </c>
      <c r="T43" s="470">
        <f t="shared" si="2"/>
        <v>0.02643326536315642</v>
      </c>
      <c r="U43" s="471"/>
    </row>
    <row r="44" spans="1:21" s="385" customFormat="1" ht="39.75" customHeight="1">
      <c r="A44" s="430" t="s">
        <v>475</v>
      </c>
      <c r="B44" s="434" t="s">
        <v>476</v>
      </c>
      <c r="C44" s="482">
        <v>30816750</v>
      </c>
      <c r="D44" s="485">
        <v>23999906</v>
      </c>
      <c r="E44" s="485">
        <f t="shared" si="11"/>
        <v>6816844</v>
      </c>
      <c r="F44" s="485"/>
      <c r="G44" s="485"/>
      <c r="H44" s="467">
        <f t="shared" si="4"/>
        <v>30816750</v>
      </c>
      <c r="I44" s="467">
        <f t="shared" si="5"/>
        <v>29951343</v>
      </c>
      <c r="J44" s="485">
        <v>203966</v>
      </c>
      <c r="K44" s="548">
        <v>9508965</v>
      </c>
      <c r="L44" s="551"/>
      <c r="M44" s="542">
        <f t="shared" si="6"/>
        <v>20238412</v>
      </c>
      <c r="N44" s="484"/>
      <c r="O44" s="550"/>
      <c r="P44" s="485"/>
      <c r="Q44" s="485"/>
      <c r="R44" s="485">
        <v>865407</v>
      </c>
      <c r="S44" s="462">
        <f t="shared" si="7"/>
        <v>21103819</v>
      </c>
      <c r="T44" s="470">
        <f t="shared" si="2"/>
        <v>0.32429033315801564</v>
      </c>
      <c r="U44" s="471"/>
    </row>
    <row r="45" spans="1:21" s="385" customFormat="1" ht="39.75" customHeight="1">
      <c r="A45" s="430" t="s">
        <v>477</v>
      </c>
      <c r="B45" s="434" t="s">
        <v>478</v>
      </c>
      <c r="C45" s="482">
        <v>17051668</v>
      </c>
      <c r="D45" s="485">
        <v>15742867</v>
      </c>
      <c r="E45" s="485">
        <f t="shared" si="11"/>
        <v>1308801</v>
      </c>
      <c r="F45" s="485"/>
      <c r="G45" s="485"/>
      <c r="H45" s="467">
        <f t="shared" si="4"/>
        <v>17051668</v>
      </c>
      <c r="I45" s="467">
        <f t="shared" si="5"/>
        <v>10872023</v>
      </c>
      <c r="J45" s="485">
        <v>749258</v>
      </c>
      <c r="K45" s="548">
        <v>493709</v>
      </c>
      <c r="L45" s="552"/>
      <c r="M45" s="542">
        <f t="shared" si="6"/>
        <v>9629056</v>
      </c>
      <c r="N45" s="484"/>
      <c r="O45" s="550"/>
      <c r="P45" s="485"/>
      <c r="Q45" s="485"/>
      <c r="R45" s="485">
        <v>6179645</v>
      </c>
      <c r="S45" s="462">
        <f t="shared" si="7"/>
        <v>15808701</v>
      </c>
      <c r="T45" s="470">
        <f t="shared" si="2"/>
        <v>0.11432711281055973</v>
      </c>
      <c r="U45" s="471"/>
    </row>
    <row r="46" spans="1:21" s="385" customFormat="1" ht="39.75" customHeight="1">
      <c r="A46" s="430" t="s">
        <v>479</v>
      </c>
      <c r="B46" s="434" t="s">
        <v>480</v>
      </c>
      <c r="C46" s="482">
        <f>7355462+401900</f>
        <v>7757362</v>
      </c>
      <c r="D46" s="485">
        <v>7228406</v>
      </c>
      <c r="E46" s="485">
        <f t="shared" si="11"/>
        <v>528956</v>
      </c>
      <c r="F46" s="485">
        <v>25161</v>
      </c>
      <c r="G46" s="485"/>
      <c r="H46" s="467">
        <f t="shared" si="4"/>
        <v>7732201</v>
      </c>
      <c r="I46" s="467">
        <f t="shared" si="5"/>
        <v>5059262</v>
      </c>
      <c r="J46" s="485">
        <v>25321</v>
      </c>
      <c r="K46" s="548"/>
      <c r="L46" s="552"/>
      <c r="M46" s="542">
        <f t="shared" si="6"/>
        <v>5033941</v>
      </c>
      <c r="N46" s="484"/>
      <c r="O46" s="550"/>
      <c r="P46" s="485"/>
      <c r="Q46" s="485"/>
      <c r="R46" s="485">
        <v>2672939</v>
      </c>
      <c r="S46" s="462">
        <f t="shared" si="7"/>
        <v>7706880</v>
      </c>
      <c r="T46" s="470">
        <f t="shared" si="2"/>
        <v>0.0050048801584104555</v>
      </c>
      <c r="U46" s="471"/>
    </row>
    <row r="47" spans="1:21" s="385" customFormat="1" ht="39.75" customHeight="1">
      <c r="A47" s="430" t="s">
        <v>481</v>
      </c>
      <c r="B47" s="434" t="s">
        <v>482</v>
      </c>
      <c r="C47" s="483">
        <v>26765983</v>
      </c>
      <c r="D47" s="553">
        <v>21353431</v>
      </c>
      <c r="E47" s="485">
        <f>C47-D47</f>
        <v>5412552</v>
      </c>
      <c r="F47" s="553"/>
      <c r="G47" s="553"/>
      <c r="H47" s="467">
        <f t="shared" si="4"/>
        <v>26765983</v>
      </c>
      <c r="I47" s="467">
        <f t="shared" si="5"/>
        <v>8683126</v>
      </c>
      <c r="J47" s="554">
        <v>150822</v>
      </c>
      <c r="K47" s="555"/>
      <c r="L47" s="551"/>
      <c r="M47" s="542">
        <f t="shared" si="6"/>
        <v>8532304</v>
      </c>
      <c r="N47" s="484"/>
      <c r="O47" s="554"/>
      <c r="P47" s="554"/>
      <c r="Q47" s="556"/>
      <c r="R47" s="557">
        <f>17655335+427522</f>
        <v>18082857</v>
      </c>
      <c r="S47" s="462">
        <f t="shared" si="7"/>
        <v>26615161</v>
      </c>
      <c r="T47" s="470">
        <f t="shared" si="2"/>
        <v>0.01736955101192819</v>
      </c>
      <c r="U47" s="471"/>
    </row>
    <row r="48" spans="1:21" s="385" customFormat="1" ht="39.75" customHeight="1">
      <c r="A48" s="430" t="s">
        <v>481</v>
      </c>
      <c r="B48" s="434" t="s">
        <v>553</v>
      </c>
      <c r="C48" s="483">
        <v>4489369</v>
      </c>
      <c r="D48" s="553">
        <v>3964426</v>
      </c>
      <c r="E48" s="485">
        <f t="shared" si="11"/>
        <v>524943</v>
      </c>
      <c r="F48" s="553"/>
      <c r="G48" s="553"/>
      <c r="H48" s="467">
        <f t="shared" si="4"/>
        <v>4489369</v>
      </c>
      <c r="I48" s="467">
        <f t="shared" si="5"/>
        <v>3609677</v>
      </c>
      <c r="J48" s="554">
        <v>261663</v>
      </c>
      <c r="K48" s="555"/>
      <c r="L48" s="551"/>
      <c r="M48" s="542">
        <f t="shared" si="6"/>
        <v>3348014</v>
      </c>
      <c r="N48" s="484"/>
      <c r="O48" s="554"/>
      <c r="P48" s="554"/>
      <c r="Q48" s="556"/>
      <c r="R48" s="557">
        <v>879692</v>
      </c>
      <c r="S48" s="462">
        <f t="shared" si="7"/>
        <v>4227706</v>
      </c>
      <c r="T48" s="470">
        <f t="shared" si="2"/>
        <v>0.07248931137051874</v>
      </c>
      <c r="U48" s="471"/>
    </row>
    <row r="49" spans="1:21" s="385" customFormat="1" ht="39.75" customHeight="1">
      <c r="A49" s="432" t="s">
        <v>49</v>
      </c>
      <c r="B49" s="433" t="s">
        <v>554</v>
      </c>
      <c r="C49" s="462">
        <f t="shared" si="3"/>
        <v>1671856</v>
      </c>
      <c r="D49" s="558">
        <f>D50+D51</f>
        <v>1408264</v>
      </c>
      <c r="E49" s="559">
        <f aca="true" t="shared" si="12" ref="E49:S49">E50+E51</f>
        <v>263592</v>
      </c>
      <c r="F49" s="559">
        <f t="shared" si="12"/>
        <v>0</v>
      </c>
      <c r="G49" s="559">
        <f t="shared" si="12"/>
        <v>0</v>
      </c>
      <c r="H49" s="467">
        <f t="shared" si="4"/>
        <v>1671856</v>
      </c>
      <c r="I49" s="467">
        <f t="shared" si="12"/>
        <v>969079</v>
      </c>
      <c r="J49" s="467">
        <f t="shared" si="12"/>
        <v>96465</v>
      </c>
      <c r="K49" s="467">
        <f t="shared" si="12"/>
        <v>0</v>
      </c>
      <c r="L49" s="467">
        <f t="shared" si="12"/>
        <v>0</v>
      </c>
      <c r="M49" s="467">
        <f t="shared" si="12"/>
        <v>872614</v>
      </c>
      <c r="N49" s="467">
        <f t="shared" si="12"/>
        <v>0</v>
      </c>
      <c r="O49" s="467">
        <f t="shared" si="12"/>
        <v>0</v>
      </c>
      <c r="P49" s="467">
        <f t="shared" si="12"/>
        <v>0</v>
      </c>
      <c r="Q49" s="467">
        <f t="shared" si="12"/>
        <v>0</v>
      </c>
      <c r="R49" s="467">
        <f t="shared" si="12"/>
        <v>702777</v>
      </c>
      <c r="S49" s="462">
        <f t="shared" si="12"/>
        <v>1575391</v>
      </c>
      <c r="T49" s="470">
        <f t="shared" si="2"/>
        <v>0.09954296811715041</v>
      </c>
      <c r="U49" s="471"/>
    </row>
    <row r="50" spans="1:21" s="385" customFormat="1" ht="39.75" customHeight="1">
      <c r="A50" s="430" t="s">
        <v>113</v>
      </c>
      <c r="B50" s="434" t="s">
        <v>486</v>
      </c>
      <c r="C50" s="462">
        <f t="shared" si="3"/>
        <v>154970</v>
      </c>
      <c r="D50" s="488">
        <v>68542</v>
      </c>
      <c r="E50" s="560">
        <v>86428</v>
      </c>
      <c r="F50" s="560"/>
      <c r="G50" s="560"/>
      <c r="H50" s="467">
        <f t="shared" si="4"/>
        <v>154970</v>
      </c>
      <c r="I50" s="467">
        <f t="shared" si="5"/>
        <v>89228</v>
      </c>
      <c r="J50" s="560">
        <v>70328</v>
      </c>
      <c r="K50" s="488"/>
      <c r="L50" s="488"/>
      <c r="M50" s="489">
        <f t="shared" si="6"/>
        <v>18900</v>
      </c>
      <c r="N50" s="560"/>
      <c r="O50" s="560"/>
      <c r="P50" s="560"/>
      <c r="Q50" s="560"/>
      <c r="R50" s="560">
        <v>65742</v>
      </c>
      <c r="S50" s="462">
        <f t="shared" si="7"/>
        <v>84642</v>
      </c>
      <c r="T50" s="470">
        <f t="shared" si="2"/>
        <v>0.78818308154391</v>
      </c>
      <c r="U50" s="471"/>
    </row>
    <row r="51" spans="1:21" s="385" customFormat="1" ht="39.75" customHeight="1">
      <c r="A51" s="430" t="s">
        <v>114</v>
      </c>
      <c r="B51" s="434" t="s">
        <v>487</v>
      </c>
      <c r="C51" s="462">
        <f t="shared" si="3"/>
        <v>1516886</v>
      </c>
      <c r="D51" s="488">
        <v>1339722</v>
      </c>
      <c r="E51" s="560">
        <v>177164</v>
      </c>
      <c r="F51" s="560"/>
      <c r="G51" s="560"/>
      <c r="H51" s="467">
        <f t="shared" si="4"/>
        <v>1516886</v>
      </c>
      <c r="I51" s="467">
        <f t="shared" si="5"/>
        <v>879851</v>
      </c>
      <c r="J51" s="560">
        <v>26137</v>
      </c>
      <c r="K51" s="488"/>
      <c r="L51" s="488"/>
      <c r="M51" s="489">
        <f t="shared" si="6"/>
        <v>853714</v>
      </c>
      <c r="N51" s="560"/>
      <c r="O51" s="560"/>
      <c r="P51" s="560"/>
      <c r="Q51" s="560"/>
      <c r="R51" s="560">
        <v>637035</v>
      </c>
      <c r="S51" s="462">
        <f t="shared" si="7"/>
        <v>1490749</v>
      </c>
      <c r="T51" s="470">
        <f t="shared" si="2"/>
        <v>0.02970616615767897</v>
      </c>
      <c r="U51" s="471"/>
    </row>
    <row r="52" spans="1:21" s="385" customFormat="1" ht="39.75" customHeight="1">
      <c r="A52" s="432" t="s">
        <v>58</v>
      </c>
      <c r="B52" s="433" t="s">
        <v>488</v>
      </c>
      <c r="C52" s="462">
        <f t="shared" si="3"/>
        <v>36010734</v>
      </c>
      <c r="D52" s="559">
        <f>D53+D54+D55+D56</f>
        <v>19753296</v>
      </c>
      <c r="E52" s="559">
        <f>E53+E54+E55+E56</f>
        <v>16257438</v>
      </c>
      <c r="F52" s="559">
        <f>F53+F54+F55+F56</f>
        <v>37600</v>
      </c>
      <c r="G52" s="559">
        <f>G53+G54+G55+G56</f>
        <v>0</v>
      </c>
      <c r="H52" s="467">
        <f t="shared" si="4"/>
        <v>35973134</v>
      </c>
      <c r="I52" s="467">
        <f aca="true" t="shared" si="13" ref="I52:S52">I53+I54+I55+I56</f>
        <v>23679958</v>
      </c>
      <c r="J52" s="467">
        <f t="shared" si="13"/>
        <v>7080456</v>
      </c>
      <c r="K52" s="467">
        <f t="shared" si="13"/>
        <v>2717744</v>
      </c>
      <c r="L52" s="467">
        <f t="shared" si="13"/>
        <v>4017</v>
      </c>
      <c r="M52" s="467">
        <f t="shared" si="13"/>
        <v>13877741</v>
      </c>
      <c r="N52" s="467">
        <f t="shared" si="13"/>
        <v>0</v>
      </c>
      <c r="O52" s="467">
        <f t="shared" si="13"/>
        <v>0</v>
      </c>
      <c r="P52" s="467">
        <f t="shared" si="13"/>
        <v>0</v>
      </c>
      <c r="Q52" s="467">
        <f t="shared" si="13"/>
        <v>0</v>
      </c>
      <c r="R52" s="467">
        <f t="shared" si="13"/>
        <v>12293176</v>
      </c>
      <c r="S52" s="462">
        <f t="shared" si="13"/>
        <v>26170917</v>
      </c>
      <c r="T52" s="470">
        <f t="shared" si="2"/>
        <v>0.4139457088564093</v>
      </c>
      <c r="U52" s="471"/>
    </row>
    <row r="53" spans="1:21" s="385" customFormat="1" ht="39.75" customHeight="1">
      <c r="A53" s="430" t="s">
        <v>115</v>
      </c>
      <c r="B53" s="434" t="s">
        <v>489</v>
      </c>
      <c r="C53" s="462">
        <f t="shared" si="3"/>
        <v>10229287</v>
      </c>
      <c r="D53" s="561">
        <v>7298641</v>
      </c>
      <c r="E53" s="561">
        <v>2930646</v>
      </c>
      <c r="F53" s="561">
        <v>200</v>
      </c>
      <c r="G53" s="561">
        <v>0</v>
      </c>
      <c r="H53" s="467">
        <f t="shared" si="4"/>
        <v>10229087</v>
      </c>
      <c r="I53" s="467">
        <f t="shared" si="5"/>
        <v>5467222</v>
      </c>
      <c r="J53" s="561">
        <v>2376955</v>
      </c>
      <c r="K53" s="561">
        <v>0</v>
      </c>
      <c r="L53" s="561">
        <v>0</v>
      </c>
      <c r="M53" s="542">
        <f t="shared" si="6"/>
        <v>3090267</v>
      </c>
      <c r="N53" s="561">
        <v>0</v>
      </c>
      <c r="O53" s="561">
        <v>0</v>
      </c>
      <c r="P53" s="561">
        <v>0</v>
      </c>
      <c r="Q53" s="562">
        <v>0</v>
      </c>
      <c r="R53" s="563">
        <v>4761865</v>
      </c>
      <c r="S53" s="462">
        <f t="shared" si="7"/>
        <v>7852132</v>
      </c>
      <c r="T53" s="470">
        <f t="shared" si="2"/>
        <v>0.43476467573476985</v>
      </c>
      <c r="U53" s="471"/>
    </row>
    <row r="54" spans="1:21" s="385" customFormat="1" ht="39.75" customHeight="1">
      <c r="A54" s="430" t="s">
        <v>116</v>
      </c>
      <c r="B54" s="434" t="s">
        <v>490</v>
      </c>
      <c r="C54" s="462">
        <f t="shared" si="3"/>
        <v>11923555</v>
      </c>
      <c r="D54" s="561">
        <v>6802389</v>
      </c>
      <c r="E54" s="561">
        <v>5121166</v>
      </c>
      <c r="F54" s="561">
        <v>0</v>
      </c>
      <c r="G54" s="561">
        <v>0</v>
      </c>
      <c r="H54" s="467">
        <f t="shared" si="4"/>
        <v>11923555</v>
      </c>
      <c r="I54" s="467">
        <f t="shared" si="5"/>
        <v>7432542</v>
      </c>
      <c r="J54" s="561">
        <v>3350585</v>
      </c>
      <c r="K54" s="561">
        <v>170063</v>
      </c>
      <c r="L54" s="561">
        <v>4017</v>
      </c>
      <c r="M54" s="542">
        <f t="shared" si="6"/>
        <v>3907877</v>
      </c>
      <c r="N54" s="561">
        <v>0</v>
      </c>
      <c r="O54" s="561">
        <v>0</v>
      </c>
      <c r="P54" s="561">
        <v>0</v>
      </c>
      <c r="Q54" s="562">
        <v>0</v>
      </c>
      <c r="R54" s="563">
        <v>4491013</v>
      </c>
      <c r="S54" s="462">
        <f t="shared" si="7"/>
        <v>8398890</v>
      </c>
      <c r="T54" s="470">
        <f t="shared" si="2"/>
        <v>0.47422066367065263</v>
      </c>
      <c r="U54" s="471"/>
    </row>
    <row r="55" spans="1:21" s="385" customFormat="1" ht="39.75" customHeight="1">
      <c r="A55" s="430" t="s">
        <v>117</v>
      </c>
      <c r="B55" s="445" t="s">
        <v>491</v>
      </c>
      <c r="C55" s="462">
        <f t="shared" si="3"/>
        <v>4853670</v>
      </c>
      <c r="D55" s="561">
        <v>4334395</v>
      </c>
      <c r="E55" s="561">
        <v>519275</v>
      </c>
      <c r="F55" s="561">
        <v>37400</v>
      </c>
      <c r="G55" s="561">
        <v>0</v>
      </c>
      <c r="H55" s="467">
        <f t="shared" si="4"/>
        <v>4816270</v>
      </c>
      <c r="I55" s="467">
        <f t="shared" si="5"/>
        <v>2174721</v>
      </c>
      <c r="J55" s="561">
        <v>217680</v>
      </c>
      <c r="K55" s="561">
        <v>37108</v>
      </c>
      <c r="L55" s="561">
        <v>0</v>
      </c>
      <c r="M55" s="542">
        <f t="shared" si="6"/>
        <v>1919933</v>
      </c>
      <c r="N55" s="561">
        <v>0</v>
      </c>
      <c r="O55" s="561">
        <v>0</v>
      </c>
      <c r="P55" s="561">
        <v>0</v>
      </c>
      <c r="Q55" s="562">
        <v>0</v>
      </c>
      <c r="R55" s="563">
        <v>2641549</v>
      </c>
      <c r="S55" s="462">
        <f t="shared" si="7"/>
        <v>4561482</v>
      </c>
      <c r="T55" s="470">
        <f t="shared" si="2"/>
        <v>0.11715893670958252</v>
      </c>
      <c r="U55" s="471"/>
    </row>
    <row r="56" spans="1:21" s="385" customFormat="1" ht="39.75" customHeight="1">
      <c r="A56" s="430" t="s">
        <v>118</v>
      </c>
      <c r="B56" s="447" t="s">
        <v>492</v>
      </c>
      <c r="C56" s="462">
        <f t="shared" si="3"/>
        <v>9004222</v>
      </c>
      <c r="D56" s="561">
        <v>1317871</v>
      </c>
      <c r="E56" s="561">
        <v>7686351</v>
      </c>
      <c r="F56" s="561">
        <v>0</v>
      </c>
      <c r="G56" s="564" t="s">
        <v>445</v>
      </c>
      <c r="H56" s="467">
        <f t="shared" si="4"/>
        <v>9004222</v>
      </c>
      <c r="I56" s="467">
        <f t="shared" si="5"/>
        <v>8605473</v>
      </c>
      <c r="J56" s="561">
        <v>1135236</v>
      </c>
      <c r="K56" s="561">
        <v>2510573</v>
      </c>
      <c r="L56" s="564" t="s">
        <v>445</v>
      </c>
      <c r="M56" s="542">
        <f t="shared" si="6"/>
        <v>4959664</v>
      </c>
      <c r="N56" s="561">
        <v>0</v>
      </c>
      <c r="O56" s="561">
        <v>0</v>
      </c>
      <c r="P56" s="564" t="s">
        <v>445</v>
      </c>
      <c r="Q56" s="565" t="s">
        <v>445</v>
      </c>
      <c r="R56" s="561">
        <v>398749</v>
      </c>
      <c r="S56" s="462">
        <f t="shared" si="7"/>
        <v>5358413</v>
      </c>
      <c r="T56" s="470">
        <f t="shared" si="2"/>
        <v>0.42366166275810757</v>
      </c>
      <c r="U56" s="471"/>
    </row>
    <row r="57" spans="1:21" s="385" customFormat="1" ht="39.75" customHeight="1">
      <c r="A57" s="432" t="s">
        <v>59</v>
      </c>
      <c r="B57" s="433" t="s">
        <v>493</v>
      </c>
      <c r="C57" s="462">
        <f t="shared" si="3"/>
        <v>242401641</v>
      </c>
      <c r="D57" s="467">
        <f>D58+D59+D60+D61+D62+D63+D64</f>
        <v>205968642</v>
      </c>
      <c r="E57" s="467">
        <f>E58+E59+E60+E61+E62+E63+E64</f>
        <v>36432999</v>
      </c>
      <c r="F57" s="467">
        <f>F58+F59+F60+F61+F62+F63+F64</f>
        <v>33130</v>
      </c>
      <c r="G57" s="467">
        <f>G58+G59+G60+G61+G62+G63+G64</f>
        <v>0</v>
      </c>
      <c r="H57" s="467">
        <f t="shared" si="4"/>
        <v>242368511</v>
      </c>
      <c r="I57" s="467">
        <f t="shared" si="5"/>
        <v>182753502</v>
      </c>
      <c r="J57" s="467">
        <f>J58+J59+J60+J61+J62+J63+J64</f>
        <v>15282153</v>
      </c>
      <c r="K57" s="467">
        <f aca="true" t="shared" si="14" ref="K57:R57">K58+K59+K60+K61+K62+K63+K64</f>
        <v>3300697</v>
      </c>
      <c r="L57" s="467">
        <f t="shared" si="14"/>
        <v>0</v>
      </c>
      <c r="M57" s="467">
        <f t="shared" si="14"/>
        <v>162809109</v>
      </c>
      <c r="N57" s="467">
        <f t="shared" si="14"/>
        <v>1208886</v>
      </c>
      <c r="O57" s="467">
        <f t="shared" si="14"/>
        <v>28938</v>
      </c>
      <c r="P57" s="467">
        <f t="shared" si="14"/>
        <v>0</v>
      </c>
      <c r="Q57" s="467">
        <f t="shared" si="14"/>
        <v>123719</v>
      </c>
      <c r="R57" s="467">
        <f t="shared" si="14"/>
        <v>59615009</v>
      </c>
      <c r="S57" s="462">
        <f t="shared" si="7"/>
        <v>223785661</v>
      </c>
      <c r="T57" s="470">
        <f t="shared" si="2"/>
        <v>0.1016825932014151</v>
      </c>
      <c r="U57" s="471"/>
    </row>
    <row r="58" spans="1:21" s="385" customFormat="1" ht="39.75" customHeight="1">
      <c r="A58" s="430" t="s">
        <v>119</v>
      </c>
      <c r="B58" s="434" t="s">
        <v>569</v>
      </c>
      <c r="C58" s="462">
        <f t="shared" si="3"/>
        <v>86034237</v>
      </c>
      <c r="D58" s="541">
        <v>75918738</v>
      </c>
      <c r="E58" s="541">
        <v>10115499</v>
      </c>
      <c r="F58" s="541">
        <v>8450</v>
      </c>
      <c r="G58" s="541"/>
      <c r="H58" s="467">
        <f t="shared" si="4"/>
        <v>86025787</v>
      </c>
      <c r="I58" s="467">
        <f t="shared" si="5"/>
        <v>54060010</v>
      </c>
      <c r="J58" s="541">
        <v>1695716</v>
      </c>
      <c r="K58" s="541">
        <v>455250</v>
      </c>
      <c r="L58" s="541"/>
      <c r="M58" s="542">
        <f t="shared" si="6"/>
        <v>51785325</v>
      </c>
      <c r="N58" s="541"/>
      <c r="O58" s="541"/>
      <c r="P58" s="541">
        <v>0</v>
      </c>
      <c r="Q58" s="541">
        <v>123719</v>
      </c>
      <c r="R58" s="542">
        <v>31965777</v>
      </c>
      <c r="S58" s="462">
        <f t="shared" si="7"/>
        <v>83874821</v>
      </c>
      <c r="T58" s="470">
        <f t="shared" si="2"/>
        <v>0.03978848690557031</v>
      </c>
      <c r="U58" s="471"/>
    </row>
    <row r="59" spans="1:21" s="385" customFormat="1" ht="39.75" customHeight="1">
      <c r="A59" s="430" t="s">
        <v>120</v>
      </c>
      <c r="B59" s="434" t="s">
        <v>494</v>
      </c>
      <c r="C59" s="462">
        <f t="shared" si="3"/>
        <v>29399167</v>
      </c>
      <c r="D59" s="541">
        <v>12863435</v>
      </c>
      <c r="E59" s="541">
        <v>16535732</v>
      </c>
      <c r="F59" s="541">
        <v>5200</v>
      </c>
      <c r="G59" s="541">
        <v>0</v>
      </c>
      <c r="H59" s="467">
        <f t="shared" si="4"/>
        <v>29393967</v>
      </c>
      <c r="I59" s="467">
        <f t="shared" si="5"/>
        <v>24222750</v>
      </c>
      <c r="J59" s="541">
        <v>7927740</v>
      </c>
      <c r="K59" s="541">
        <v>21502</v>
      </c>
      <c r="L59" s="541"/>
      <c r="M59" s="542">
        <f t="shared" si="6"/>
        <v>16273508</v>
      </c>
      <c r="N59" s="541"/>
      <c r="O59" s="541">
        <v>0</v>
      </c>
      <c r="P59" s="541"/>
      <c r="Q59" s="541"/>
      <c r="R59" s="542">
        <v>5171217</v>
      </c>
      <c r="S59" s="462">
        <f t="shared" si="7"/>
        <v>21444725</v>
      </c>
      <c r="T59" s="470">
        <f t="shared" si="2"/>
        <v>0.32817256504732123</v>
      </c>
      <c r="U59" s="471"/>
    </row>
    <row r="60" spans="1:21" s="385" customFormat="1" ht="39.75" customHeight="1">
      <c r="A60" s="430" t="s">
        <v>121</v>
      </c>
      <c r="B60" s="434" t="s">
        <v>495</v>
      </c>
      <c r="C60" s="462">
        <f t="shared" si="3"/>
        <v>40499989</v>
      </c>
      <c r="D60" s="541">
        <v>34854205</v>
      </c>
      <c r="E60" s="541">
        <v>5645784</v>
      </c>
      <c r="F60" s="541"/>
      <c r="G60" s="541">
        <v>0</v>
      </c>
      <c r="H60" s="467">
        <f t="shared" si="4"/>
        <v>40499989</v>
      </c>
      <c r="I60" s="467">
        <f t="shared" si="5"/>
        <v>28401131</v>
      </c>
      <c r="J60" s="541">
        <v>2110873</v>
      </c>
      <c r="K60" s="541">
        <v>579202</v>
      </c>
      <c r="L60" s="541"/>
      <c r="M60" s="542">
        <f t="shared" si="6"/>
        <v>25682118</v>
      </c>
      <c r="N60" s="541"/>
      <c r="O60" s="541">
        <v>28938</v>
      </c>
      <c r="P60" s="541">
        <v>0</v>
      </c>
      <c r="Q60" s="541">
        <v>0</v>
      </c>
      <c r="R60" s="542">
        <v>12098858</v>
      </c>
      <c r="S60" s="462">
        <f t="shared" si="7"/>
        <v>37809914</v>
      </c>
      <c r="T60" s="470">
        <f t="shared" si="2"/>
        <v>0.09471717869263728</v>
      </c>
      <c r="U60" s="471"/>
    </row>
    <row r="61" spans="1:21" s="385" customFormat="1" ht="39.75" customHeight="1">
      <c r="A61" s="430" t="s">
        <v>496</v>
      </c>
      <c r="B61" s="434" t="s">
        <v>497</v>
      </c>
      <c r="C61" s="462">
        <f t="shared" si="3"/>
        <v>15199655</v>
      </c>
      <c r="D61" s="541">
        <v>14405657</v>
      </c>
      <c r="E61" s="541">
        <v>793998</v>
      </c>
      <c r="F61" s="541">
        <v>200</v>
      </c>
      <c r="G61" s="541">
        <v>0</v>
      </c>
      <c r="H61" s="467">
        <f t="shared" si="4"/>
        <v>15199455</v>
      </c>
      <c r="I61" s="467">
        <f t="shared" si="5"/>
        <v>12458690</v>
      </c>
      <c r="J61" s="541">
        <v>2071819</v>
      </c>
      <c r="K61" s="541">
        <v>321766</v>
      </c>
      <c r="L61" s="541"/>
      <c r="M61" s="542">
        <f t="shared" si="6"/>
        <v>10065105</v>
      </c>
      <c r="N61" s="541"/>
      <c r="O61" s="541">
        <v>0</v>
      </c>
      <c r="P61" s="541">
        <v>0</v>
      </c>
      <c r="Q61" s="541">
        <v>0</v>
      </c>
      <c r="R61" s="542">
        <v>2740765</v>
      </c>
      <c r="S61" s="462">
        <f t="shared" si="7"/>
        <v>12805870</v>
      </c>
      <c r="T61" s="470">
        <f t="shared" si="2"/>
        <v>0.19212172387305568</v>
      </c>
      <c r="U61" s="471"/>
    </row>
    <row r="62" spans="1:21" s="385" customFormat="1" ht="39.75" customHeight="1">
      <c r="A62" s="430" t="s">
        <v>498</v>
      </c>
      <c r="B62" s="434" t="s">
        <v>499</v>
      </c>
      <c r="C62" s="462">
        <f t="shared" si="3"/>
        <v>17262772</v>
      </c>
      <c r="D62" s="541">
        <v>15849764</v>
      </c>
      <c r="E62" s="541">
        <v>1413008</v>
      </c>
      <c r="F62" s="541">
        <v>17280</v>
      </c>
      <c r="G62" s="541">
        <v>0</v>
      </c>
      <c r="H62" s="467">
        <f t="shared" si="4"/>
        <v>17245492</v>
      </c>
      <c r="I62" s="467">
        <f t="shared" si="5"/>
        <v>14111727</v>
      </c>
      <c r="J62" s="541">
        <v>208652</v>
      </c>
      <c r="K62" s="541">
        <v>825000</v>
      </c>
      <c r="L62" s="541"/>
      <c r="M62" s="542">
        <f t="shared" si="6"/>
        <v>12045589</v>
      </c>
      <c r="N62" s="541">
        <v>1032486</v>
      </c>
      <c r="O62" s="541">
        <v>0</v>
      </c>
      <c r="P62" s="541"/>
      <c r="Q62" s="541"/>
      <c r="R62" s="542">
        <v>3133765</v>
      </c>
      <c r="S62" s="462">
        <f t="shared" si="7"/>
        <v>16211840</v>
      </c>
      <c r="T62" s="470">
        <f t="shared" si="2"/>
        <v>0.07324773218756286</v>
      </c>
      <c r="U62" s="471"/>
    </row>
    <row r="63" spans="1:21" s="385" customFormat="1" ht="39.75" customHeight="1">
      <c r="A63" s="430" t="s">
        <v>500</v>
      </c>
      <c r="B63" s="434" t="s">
        <v>501</v>
      </c>
      <c r="C63" s="462">
        <f t="shared" si="3"/>
        <v>46424793</v>
      </c>
      <c r="D63" s="541">
        <v>45032297</v>
      </c>
      <c r="E63" s="541">
        <v>1392496</v>
      </c>
      <c r="F63" s="541"/>
      <c r="G63" s="541">
        <v>0</v>
      </c>
      <c r="H63" s="467">
        <f t="shared" si="4"/>
        <v>46424793</v>
      </c>
      <c r="I63" s="467">
        <f t="shared" si="5"/>
        <v>43094016</v>
      </c>
      <c r="J63" s="541">
        <v>885834</v>
      </c>
      <c r="K63" s="541">
        <v>685367</v>
      </c>
      <c r="L63" s="541"/>
      <c r="M63" s="542">
        <f t="shared" si="6"/>
        <v>41522815</v>
      </c>
      <c r="N63" s="541">
        <v>0</v>
      </c>
      <c r="O63" s="541">
        <v>0</v>
      </c>
      <c r="P63" s="541">
        <v>0</v>
      </c>
      <c r="Q63" s="541">
        <v>0</v>
      </c>
      <c r="R63" s="542">
        <v>3330777</v>
      </c>
      <c r="S63" s="462">
        <f t="shared" si="7"/>
        <v>44853592</v>
      </c>
      <c r="T63" s="470">
        <f t="shared" si="2"/>
        <v>0.03645984166339939</v>
      </c>
      <c r="U63" s="471"/>
    </row>
    <row r="64" spans="1:21" s="385" customFormat="1" ht="39.75" customHeight="1">
      <c r="A64" s="430" t="s">
        <v>555</v>
      </c>
      <c r="B64" s="434" t="s">
        <v>503</v>
      </c>
      <c r="C64" s="462">
        <f t="shared" si="3"/>
        <v>7581028</v>
      </c>
      <c r="D64" s="541">
        <v>7044546</v>
      </c>
      <c r="E64" s="541">
        <v>536482</v>
      </c>
      <c r="F64" s="541">
        <v>2000</v>
      </c>
      <c r="G64" s="541">
        <v>0</v>
      </c>
      <c r="H64" s="467">
        <f t="shared" si="4"/>
        <v>7579028</v>
      </c>
      <c r="I64" s="467">
        <f t="shared" si="5"/>
        <v>6405178</v>
      </c>
      <c r="J64" s="541">
        <v>381519</v>
      </c>
      <c r="K64" s="541">
        <v>412610</v>
      </c>
      <c r="L64" s="541"/>
      <c r="M64" s="542">
        <f t="shared" si="6"/>
        <v>5434649</v>
      </c>
      <c r="N64" s="541">
        <v>176400</v>
      </c>
      <c r="O64" s="541">
        <v>0</v>
      </c>
      <c r="P64" s="541">
        <v>0</v>
      </c>
      <c r="Q64" s="541">
        <v>0</v>
      </c>
      <c r="R64" s="542">
        <v>1173850</v>
      </c>
      <c r="S64" s="462">
        <f t="shared" si="7"/>
        <v>6784899</v>
      </c>
      <c r="T64" s="470">
        <f t="shared" si="2"/>
        <v>0.12398234678255624</v>
      </c>
      <c r="U64" s="471"/>
    </row>
    <row r="65" spans="1:21" s="385" customFormat="1" ht="39.75" customHeight="1">
      <c r="A65" s="432" t="s">
        <v>60</v>
      </c>
      <c r="B65" s="446" t="s">
        <v>504</v>
      </c>
      <c r="C65" s="462">
        <f>D65+E65</f>
        <v>276775346</v>
      </c>
      <c r="D65" s="467">
        <f>D66+D67+D68+D69+D70</f>
        <v>261390493</v>
      </c>
      <c r="E65" s="467">
        <f aca="true" t="shared" si="15" ref="E65:S65">E66+E67+E68+E69+E70</f>
        <v>15384853</v>
      </c>
      <c r="F65" s="467">
        <f t="shared" si="15"/>
        <v>225839</v>
      </c>
      <c r="G65" s="467">
        <f t="shared" si="15"/>
        <v>0</v>
      </c>
      <c r="H65" s="467">
        <f t="shared" si="15"/>
        <v>276549507</v>
      </c>
      <c r="I65" s="467">
        <f t="shared" si="15"/>
        <v>68272666</v>
      </c>
      <c r="J65" s="467">
        <f t="shared" si="15"/>
        <v>11080623</v>
      </c>
      <c r="K65" s="467">
        <f t="shared" si="15"/>
        <v>1493069</v>
      </c>
      <c r="L65" s="467">
        <f t="shared" si="15"/>
        <v>28129</v>
      </c>
      <c r="M65" s="467">
        <f t="shared" si="15"/>
        <v>53670436</v>
      </c>
      <c r="N65" s="467">
        <f t="shared" si="15"/>
        <v>0</v>
      </c>
      <c r="O65" s="467">
        <f t="shared" si="15"/>
        <v>0</v>
      </c>
      <c r="P65" s="467">
        <f t="shared" si="15"/>
        <v>2000409</v>
      </c>
      <c r="Q65" s="467">
        <f t="shared" si="15"/>
        <v>0</v>
      </c>
      <c r="R65" s="467">
        <f t="shared" si="15"/>
        <v>208276841</v>
      </c>
      <c r="S65" s="467">
        <f t="shared" si="15"/>
        <v>263947686</v>
      </c>
      <c r="T65" s="470">
        <f t="shared" si="2"/>
        <v>0.18458076618833077</v>
      </c>
      <c r="U65" s="471"/>
    </row>
    <row r="66" spans="1:21" s="385" customFormat="1" ht="39.75" customHeight="1">
      <c r="A66" s="430" t="s">
        <v>505</v>
      </c>
      <c r="B66" s="465" t="s">
        <v>566</v>
      </c>
      <c r="C66" s="462">
        <f t="shared" si="3"/>
        <v>76245</v>
      </c>
      <c r="D66" s="566">
        <v>48099</v>
      </c>
      <c r="E66" s="566">
        <v>28146</v>
      </c>
      <c r="F66" s="567"/>
      <c r="G66" s="567">
        <f>'[9]03'!C69+'[9]04'!C69</f>
        <v>0</v>
      </c>
      <c r="H66" s="467">
        <f t="shared" si="4"/>
        <v>76245</v>
      </c>
      <c r="I66" s="467">
        <f t="shared" si="5"/>
        <v>76245</v>
      </c>
      <c r="J66" s="566">
        <v>36245</v>
      </c>
      <c r="K66" s="566">
        <v>40000</v>
      </c>
      <c r="L66" s="567"/>
      <c r="M66" s="542">
        <f t="shared" si="6"/>
        <v>0</v>
      </c>
      <c r="N66" s="568"/>
      <c r="O66" s="568"/>
      <c r="P66" s="568"/>
      <c r="Q66" s="568"/>
      <c r="R66" s="568"/>
      <c r="S66" s="462">
        <f t="shared" si="7"/>
        <v>0</v>
      </c>
      <c r="T66" s="470">
        <f t="shared" si="2"/>
        <v>1</v>
      </c>
      <c r="U66" s="471"/>
    </row>
    <row r="67" spans="1:21" s="385" customFormat="1" ht="39.75" customHeight="1">
      <c r="A67" s="430" t="s">
        <v>506</v>
      </c>
      <c r="B67" s="465" t="s">
        <v>565</v>
      </c>
      <c r="C67" s="462">
        <f t="shared" si="3"/>
        <v>365791</v>
      </c>
      <c r="D67" s="569">
        <v>174912</v>
      </c>
      <c r="E67" s="569">
        <v>190879</v>
      </c>
      <c r="F67" s="569"/>
      <c r="G67" s="569"/>
      <c r="H67" s="467">
        <f t="shared" si="4"/>
        <v>365791</v>
      </c>
      <c r="I67" s="467">
        <f t="shared" si="5"/>
        <v>365791</v>
      </c>
      <c r="J67" s="569">
        <v>365790</v>
      </c>
      <c r="K67" s="569">
        <v>1</v>
      </c>
      <c r="L67" s="569">
        <v>0</v>
      </c>
      <c r="M67" s="542">
        <f t="shared" si="6"/>
        <v>0</v>
      </c>
      <c r="N67" s="569">
        <v>0</v>
      </c>
      <c r="O67" s="569"/>
      <c r="P67" s="569"/>
      <c r="Q67" s="569"/>
      <c r="R67" s="569"/>
      <c r="S67" s="462">
        <f t="shared" si="7"/>
        <v>0</v>
      </c>
      <c r="T67" s="470">
        <f t="shared" si="2"/>
        <v>1</v>
      </c>
      <c r="U67" s="471"/>
    </row>
    <row r="68" spans="1:21" s="385" customFormat="1" ht="39.75" customHeight="1">
      <c r="A68" s="430" t="s">
        <v>582</v>
      </c>
      <c r="B68" s="469" t="s">
        <v>507</v>
      </c>
      <c r="C68" s="462">
        <f t="shared" si="3"/>
        <v>219765925</v>
      </c>
      <c r="D68" s="569">
        <v>214036594</v>
      </c>
      <c r="E68" s="569">
        <v>5729331</v>
      </c>
      <c r="F68" s="569">
        <v>111300</v>
      </c>
      <c r="G68" s="569"/>
      <c r="H68" s="467">
        <f t="shared" si="4"/>
        <v>219654625</v>
      </c>
      <c r="I68" s="467">
        <f t="shared" si="5"/>
        <v>33108475</v>
      </c>
      <c r="J68" s="569">
        <v>9283878</v>
      </c>
      <c r="K68" s="569">
        <v>686221</v>
      </c>
      <c r="L68" s="569">
        <v>0</v>
      </c>
      <c r="M68" s="542">
        <f t="shared" si="6"/>
        <v>21191722</v>
      </c>
      <c r="N68" s="569"/>
      <c r="O68" s="569"/>
      <c r="P68" s="569">
        <v>1946654</v>
      </c>
      <c r="Q68" s="569"/>
      <c r="R68" s="569">
        <v>186546150</v>
      </c>
      <c r="S68" s="462">
        <f t="shared" si="7"/>
        <v>209684526</v>
      </c>
      <c r="T68" s="470">
        <f t="shared" si="2"/>
        <v>0.3011343470214197</v>
      </c>
      <c r="U68" s="471"/>
    </row>
    <row r="69" spans="1:21" s="385" customFormat="1" ht="39.75" customHeight="1">
      <c r="A69" s="430" t="s">
        <v>583</v>
      </c>
      <c r="B69" s="469" t="s">
        <v>508</v>
      </c>
      <c r="C69" s="462">
        <f t="shared" si="3"/>
        <v>19719276</v>
      </c>
      <c r="D69" s="569">
        <v>17519829</v>
      </c>
      <c r="E69" s="569">
        <v>2199447</v>
      </c>
      <c r="F69" s="569">
        <v>67499</v>
      </c>
      <c r="G69" s="569"/>
      <c r="H69" s="467">
        <f t="shared" si="4"/>
        <v>19651777</v>
      </c>
      <c r="I69" s="467">
        <f t="shared" si="5"/>
        <v>5650211</v>
      </c>
      <c r="J69" s="569">
        <v>578883</v>
      </c>
      <c r="K69" s="569">
        <v>2</v>
      </c>
      <c r="L69" s="569">
        <v>0</v>
      </c>
      <c r="M69" s="542">
        <f t="shared" si="6"/>
        <v>5071326</v>
      </c>
      <c r="N69" s="569"/>
      <c r="O69" s="569"/>
      <c r="P69" s="569"/>
      <c r="Q69" s="569"/>
      <c r="R69" s="569">
        <v>14001566</v>
      </c>
      <c r="S69" s="462">
        <f t="shared" si="7"/>
        <v>19072892</v>
      </c>
      <c r="T69" s="470">
        <f t="shared" si="2"/>
        <v>0.10245369597701749</v>
      </c>
      <c r="U69" s="471"/>
    </row>
    <row r="70" spans="1:21" s="385" customFormat="1" ht="39.75" customHeight="1">
      <c r="A70" s="430" t="s">
        <v>509</v>
      </c>
      <c r="B70" s="469" t="s">
        <v>510</v>
      </c>
      <c r="C70" s="462">
        <f t="shared" si="3"/>
        <v>36848109</v>
      </c>
      <c r="D70" s="569">
        <v>29611059</v>
      </c>
      <c r="E70" s="569">
        <v>7237050</v>
      </c>
      <c r="F70" s="569">
        <v>47040</v>
      </c>
      <c r="G70" s="569"/>
      <c r="H70" s="467">
        <f t="shared" si="4"/>
        <v>36801069</v>
      </c>
      <c r="I70" s="467">
        <f t="shared" si="5"/>
        <v>29071944</v>
      </c>
      <c r="J70" s="569">
        <v>815827</v>
      </c>
      <c r="K70" s="569">
        <v>766845</v>
      </c>
      <c r="L70" s="569">
        <v>28129</v>
      </c>
      <c r="M70" s="542">
        <f t="shared" si="6"/>
        <v>27407388</v>
      </c>
      <c r="N70" s="569"/>
      <c r="O70" s="569"/>
      <c r="P70" s="569">
        <v>53755</v>
      </c>
      <c r="Q70" s="569"/>
      <c r="R70" s="569">
        <v>7729125</v>
      </c>
      <c r="S70" s="462">
        <f t="shared" si="7"/>
        <v>35190268</v>
      </c>
      <c r="T70" s="470">
        <f t="shared" si="2"/>
        <v>0.05540740584805749</v>
      </c>
      <c r="U70" s="471"/>
    </row>
    <row r="71" spans="1:21" s="385" customFormat="1" ht="39.75" customHeight="1">
      <c r="A71" s="432" t="s">
        <v>61</v>
      </c>
      <c r="B71" s="433" t="s">
        <v>511</v>
      </c>
      <c r="C71" s="462">
        <f t="shared" si="3"/>
        <v>6025817</v>
      </c>
      <c r="D71" s="467">
        <f>D72+D73+D74</f>
        <v>1826957</v>
      </c>
      <c r="E71" s="467">
        <f aca="true" t="shared" si="16" ref="E71:S71">E72+E73+E74</f>
        <v>4198860</v>
      </c>
      <c r="F71" s="467">
        <f t="shared" si="16"/>
        <v>0</v>
      </c>
      <c r="G71" s="467">
        <f t="shared" si="16"/>
        <v>0</v>
      </c>
      <c r="H71" s="467">
        <f t="shared" si="16"/>
        <v>6025817</v>
      </c>
      <c r="I71" s="467">
        <f t="shared" si="16"/>
        <v>5512720</v>
      </c>
      <c r="J71" s="467">
        <f t="shared" si="16"/>
        <v>572572</v>
      </c>
      <c r="K71" s="467">
        <f t="shared" si="16"/>
        <v>14671</v>
      </c>
      <c r="L71" s="467">
        <f t="shared" si="16"/>
        <v>0</v>
      </c>
      <c r="M71" s="467">
        <f t="shared" si="16"/>
        <v>4925477</v>
      </c>
      <c r="N71" s="467">
        <f t="shared" si="16"/>
        <v>0</v>
      </c>
      <c r="O71" s="467">
        <f t="shared" si="16"/>
        <v>0</v>
      </c>
      <c r="P71" s="467">
        <f t="shared" si="16"/>
        <v>0</v>
      </c>
      <c r="Q71" s="467">
        <f t="shared" si="16"/>
        <v>0</v>
      </c>
      <c r="R71" s="467">
        <f t="shared" si="16"/>
        <v>513097</v>
      </c>
      <c r="S71" s="462">
        <f t="shared" si="16"/>
        <v>5438574</v>
      </c>
      <c r="T71" s="470">
        <f t="shared" si="2"/>
        <v>0.10652509106212542</v>
      </c>
      <c r="U71" s="471"/>
    </row>
    <row r="72" spans="1:21" s="385" customFormat="1" ht="39.75" customHeight="1">
      <c r="A72" s="430" t="s">
        <v>512</v>
      </c>
      <c r="B72" s="448" t="s">
        <v>513</v>
      </c>
      <c r="C72" s="462">
        <f t="shared" si="3"/>
        <v>3133117</v>
      </c>
      <c r="D72" s="541">
        <v>1018984</v>
      </c>
      <c r="E72" s="541">
        <v>2114133</v>
      </c>
      <c r="F72" s="541"/>
      <c r="G72" s="541"/>
      <c r="H72" s="467">
        <f t="shared" si="4"/>
        <v>3133117</v>
      </c>
      <c r="I72" s="467">
        <f t="shared" si="5"/>
        <v>2752264</v>
      </c>
      <c r="J72" s="541">
        <v>203935</v>
      </c>
      <c r="K72" s="541"/>
      <c r="L72" s="541"/>
      <c r="M72" s="542">
        <f t="shared" si="6"/>
        <v>2548329</v>
      </c>
      <c r="N72" s="541"/>
      <c r="O72" s="541"/>
      <c r="P72" s="541"/>
      <c r="Q72" s="542"/>
      <c r="R72" s="542">
        <v>380853</v>
      </c>
      <c r="S72" s="462">
        <f t="shared" si="7"/>
        <v>2929182</v>
      </c>
      <c r="T72" s="470">
        <f t="shared" si="2"/>
        <v>0.07409717963102377</v>
      </c>
      <c r="U72" s="471"/>
    </row>
    <row r="73" spans="1:21" s="385" customFormat="1" ht="39.75" customHeight="1">
      <c r="A73" s="430" t="s">
        <v>514</v>
      </c>
      <c r="B73" s="448" t="s">
        <v>515</v>
      </c>
      <c r="C73" s="462">
        <f t="shared" si="3"/>
        <v>2892700</v>
      </c>
      <c r="D73" s="541">
        <v>807973</v>
      </c>
      <c r="E73" s="541">
        <v>2084727</v>
      </c>
      <c r="F73" s="541"/>
      <c r="G73" s="541"/>
      <c r="H73" s="467">
        <f t="shared" si="4"/>
        <v>2892700</v>
      </c>
      <c r="I73" s="467">
        <f t="shared" si="5"/>
        <v>2760456</v>
      </c>
      <c r="J73" s="541">
        <v>368637</v>
      </c>
      <c r="K73" s="541">
        <v>14671</v>
      </c>
      <c r="L73" s="541"/>
      <c r="M73" s="542">
        <f t="shared" si="6"/>
        <v>2377148</v>
      </c>
      <c r="N73" s="541"/>
      <c r="O73" s="541"/>
      <c r="P73" s="541"/>
      <c r="Q73" s="542"/>
      <c r="R73" s="542">
        <v>132244</v>
      </c>
      <c r="S73" s="462">
        <f t="shared" si="7"/>
        <v>2509392</v>
      </c>
      <c r="T73" s="470">
        <f aca="true" t="shared" si="17" ref="T73:T97">(J73+K73+L73)/I73</f>
        <v>0.13885676859185583</v>
      </c>
      <c r="U73" s="471"/>
    </row>
    <row r="74" spans="1:21" s="385" customFormat="1" ht="39.75" customHeight="1">
      <c r="A74" s="430"/>
      <c r="B74" s="448"/>
      <c r="C74" s="462">
        <f t="shared" si="3"/>
        <v>0</v>
      </c>
      <c r="D74" s="541"/>
      <c r="E74" s="541"/>
      <c r="F74" s="541"/>
      <c r="G74" s="541"/>
      <c r="H74" s="467">
        <f t="shared" si="4"/>
        <v>0</v>
      </c>
      <c r="I74" s="467">
        <f t="shared" si="5"/>
        <v>0</v>
      </c>
      <c r="J74" s="541"/>
      <c r="K74" s="541"/>
      <c r="L74" s="541"/>
      <c r="M74" s="542">
        <f t="shared" si="6"/>
        <v>0</v>
      </c>
      <c r="N74" s="541"/>
      <c r="O74" s="541"/>
      <c r="P74" s="541"/>
      <c r="Q74" s="542"/>
      <c r="R74" s="542"/>
      <c r="S74" s="462">
        <f t="shared" si="7"/>
        <v>0</v>
      </c>
      <c r="T74" s="470"/>
      <c r="U74" s="471"/>
    </row>
    <row r="75" spans="1:21" s="385" customFormat="1" ht="39.75" customHeight="1">
      <c r="A75" s="432" t="s">
        <v>62</v>
      </c>
      <c r="B75" s="446" t="s">
        <v>516</v>
      </c>
      <c r="C75" s="462">
        <f t="shared" si="3"/>
        <v>107890222</v>
      </c>
      <c r="D75" s="467">
        <f aca="true" t="shared" si="18" ref="D75:J75">D76+D77+D78+D79+D80+D81</f>
        <v>74312766</v>
      </c>
      <c r="E75" s="467">
        <f t="shared" si="18"/>
        <v>33577456</v>
      </c>
      <c r="F75" s="467">
        <f t="shared" si="18"/>
        <v>781340</v>
      </c>
      <c r="G75" s="467">
        <f t="shared" si="18"/>
        <v>0</v>
      </c>
      <c r="H75" s="467">
        <f t="shared" si="18"/>
        <v>107108882</v>
      </c>
      <c r="I75" s="467">
        <f t="shared" si="18"/>
        <v>61091055</v>
      </c>
      <c r="J75" s="467">
        <f t="shared" si="18"/>
        <v>9788458</v>
      </c>
      <c r="K75" s="467">
        <f aca="true" t="shared" si="19" ref="K75:S75">K76+K77+K78+K79+K80+K81</f>
        <v>7428208</v>
      </c>
      <c r="L75" s="467">
        <f t="shared" si="19"/>
        <v>1648</v>
      </c>
      <c r="M75" s="467">
        <f t="shared" si="19"/>
        <v>43109763</v>
      </c>
      <c r="N75" s="467">
        <f t="shared" si="19"/>
        <v>747437</v>
      </c>
      <c r="O75" s="467">
        <f t="shared" si="19"/>
        <v>15541</v>
      </c>
      <c r="P75" s="467">
        <f t="shared" si="19"/>
        <v>0</v>
      </c>
      <c r="Q75" s="467">
        <f t="shared" si="19"/>
        <v>0</v>
      </c>
      <c r="R75" s="467">
        <f t="shared" si="19"/>
        <v>46017827</v>
      </c>
      <c r="S75" s="467">
        <f t="shared" si="19"/>
        <v>89890568</v>
      </c>
      <c r="T75" s="470">
        <f t="shared" si="17"/>
        <v>0.2818467286250008</v>
      </c>
      <c r="U75" s="471"/>
    </row>
    <row r="76" spans="1:21" s="385" customFormat="1" ht="39.75" customHeight="1">
      <c r="A76" s="430" t="s">
        <v>517</v>
      </c>
      <c r="B76" s="449" t="s">
        <v>518</v>
      </c>
      <c r="C76" s="462">
        <f t="shared" si="3"/>
        <v>150169</v>
      </c>
      <c r="D76" s="570">
        <v>0</v>
      </c>
      <c r="E76" s="570">
        <v>150169</v>
      </c>
      <c r="F76" s="570">
        <v>0</v>
      </c>
      <c r="G76" s="570">
        <v>0</v>
      </c>
      <c r="H76" s="467">
        <f t="shared" si="4"/>
        <v>150169</v>
      </c>
      <c r="I76" s="467">
        <f t="shared" si="5"/>
        <v>150169</v>
      </c>
      <c r="J76" s="570">
        <v>150068</v>
      </c>
      <c r="K76" s="570">
        <v>0</v>
      </c>
      <c r="L76" s="570">
        <v>0</v>
      </c>
      <c r="M76" s="542">
        <f t="shared" si="6"/>
        <v>101</v>
      </c>
      <c r="N76" s="570">
        <v>0</v>
      </c>
      <c r="O76" s="570">
        <v>0</v>
      </c>
      <c r="P76" s="570">
        <v>0</v>
      </c>
      <c r="Q76" s="570">
        <v>0</v>
      </c>
      <c r="R76" s="570">
        <v>0</v>
      </c>
      <c r="S76" s="462">
        <f t="shared" si="7"/>
        <v>101</v>
      </c>
      <c r="T76" s="470">
        <f t="shared" si="17"/>
        <v>0.9993274244351364</v>
      </c>
      <c r="U76" s="471"/>
    </row>
    <row r="77" spans="1:21" s="385" customFormat="1" ht="39.75" customHeight="1">
      <c r="A77" s="430" t="s">
        <v>519</v>
      </c>
      <c r="B77" s="449" t="s">
        <v>520</v>
      </c>
      <c r="C77" s="462">
        <f t="shared" si="3"/>
        <v>58256043</v>
      </c>
      <c r="D77" s="570">
        <v>39170611</v>
      </c>
      <c r="E77" s="570">
        <v>19085432</v>
      </c>
      <c r="F77" s="570">
        <v>119000</v>
      </c>
      <c r="G77" s="570">
        <v>0</v>
      </c>
      <c r="H77" s="467">
        <f t="shared" si="4"/>
        <v>58137043</v>
      </c>
      <c r="I77" s="467">
        <f t="shared" si="5"/>
        <v>24486454</v>
      </c>
      <c r="J77" s="570">
        <v>6238694</v>
      </c>
      <c r="K77" s="570">
        <v>2213395</v>
      </c>
      <c r="L77" s="570">
        <v>0</v>
      </c>
      <c r="M77" s="542">
        <f t="shared" si="6"/>
        <v>15272387</v>
      </c>
      <c r="N77" s="570">
        <v>746437</v>
      </c>
      <c r="O77" s="570">
        <v>15541</v>
      </c>
      <c r="P77" s="570">
        <v>0</v>
      </c>
      <c r="Q77" s="570">
        <v>0</v>
      </c>
      <c r="R77" s="570">
        <v>33650589</v>
      </c>
      <c r="S77" s="462">
        <f t="shared" si="7"/>
        <v>49684954</v>
      </c>
      <c r="T77" s="470">
        <f t="shared" si="17"/>
        <v>0.3451740705289545</v>
      </c>
      <c r="U77" s="471"/>
    </row>
    <row r="78" spans="1:21" s="385" customFormat="1" ht="39.75" customHeight="1">
      <c r="A78" s="430" t="s">
        <v>521</v>
      </c>
      <c r="B78" s="449" t="s">
        <v>522</v>
      </c>
      <c r="C78" s="462">
        <f t="shared" si="3"/>
        <v>13075812</v>
      </c>
      <c r="D78" s="570">
        <v>10693454</v>
      </c>
      <c r="E78" s="570">
        <v>2382358</v>
      </c>
      <c r="F78" s="570">
        <v>0</v>
      </c>
      <c r="G78" s="570">
        <v>0</v>
      </c>
      <c r="H78" s="467">
        <f t="shared" si="4"/>
        <v>13075812</v>
      </c>
      <c r="I78" s="467">
        <f t="shared" si="5"/>
        <v>10590331</v>
      </c>
      <c r="J78" s="570">
        <v>424200</v>
      </c>
      <c r="K78" s="570">
        <v>225013</v>
      </c>
      <c r="L78" s="570">
        <v>1648</v>
      </c>
      <c r="M78" s="542">
        <f t="shared" si="6"/>
        <v>9939470</v>
      </c>
      <c r="N78" s="570">
        <v>0</v>
      </c>
      <c r="O78" s="570">
        <v>0</v>
      </c>
      <c r="P78" s="570">
        <v>0</v>
      </c>
      <c r="Q78" s="570">
        <v>0</v>
      </c>
      <c r="R78" s="570">
        <v>2485481</v>
      </c>
      <c r="S78" s="462">
        <f t="shared" si="7"/>
        <v>12424951</v>
      </c>
      <c r="T78" s="470">
        <f t="shared" si="17"/>
        <v>0.06145804130201407</v>
      </c>
      <c r="U78" s="471"/>
    </row>
    <row r="79" spans="1:21" s="385" customFormat="1" ht="39.75" customHeight="1">
      <c r="A79" s="430" t="s">
        <v>523</v>
      </c>
      <c r="B79" s="449" t="s">
        <v>524</v>
      </c>
      <c r="C79" s="462">
        <f t="shared" si="3"/>
        <v>15665504</v>
      </c>
      <c r="D79" s="570">
        <v>13049124</v>
      </c>
      <c r="E79" s="570">
        <v>2616380</v>
      </c>
      <c r="F79" s="570">
        <v>0</v>
      </c>
      <c r="G79" s="570">
        <v>0</v>
      </c>
      <c r="H79" s="467">
        <f t="shared" si="4"/>
        <v>15665504</v>
      </c>
      <c r="I79" s="467">
        <f t="shared" si="5"/>
        <v>9323960</v>
      </c>
      <c r="J79" s="570">
        <v>355935</v>
      </c>
      <c r="K79" s="570">
        <v>144508</v>
      </c>
      <c r="L79" s="570">
        <v>0</v>
      </c>
      <c r="M79" s="542">
        <f t="shared" si="6"/>
        <v>8822517</v>
      </c>
      <c r="N79" s="570">
        <v>1000</v>
      </c>
      <c r="O79" s="570">
        <v>0</v>
      </c>
      <c r="P79" s="570">
        <v>0</v>
      </c>
      <c r="Q79" s="570">
        <v>0</v>
      </c>
      <c r="R79" s="570">
        <v>6341544</v>
      </c>
      <c r="S79" s="462">
        <f t="shared" si="7"/>
        <v>15165061</v>
      </c>
      <c r="T79" s="470">
        <f t="shared" si="17"/>
        <v>0.05367279567908914</v>
      </c>
      <c r="U79" s="471"/>
    </row>
    <row r="80" spans="1:21" s="385" customFormat="1" ht="39.75" customHeight="1">
      <c r="A80" s="430" t="s">
        <v>525</v>
      </c>
      <c r="B80" s="449" t="s">
        <v>526</v>
      </c>
      <c r="C80" s="462">
        <f t="shared" si="3"/>
        <v>20718116</v>
      </c>
      <c r="D80" s="570">
        <v>11381502</v>
      </c>
      <c r="E80" s="570">
        <v>9336614</v>
      </c>
      <c r="F80" s="570">
        <v>662340</v>
      </c>
      <c r="G80" s="570">
        <v>0</v>
      </c>
      <c r="H80" s="467">
        <f t="shared" si="4"/>
        <v>20055776</v>
      </c>
      <c r="I80" s="467">
        <f t="shared" si="5"/>
        <v>16533638</v>
      </c>
      <c r="J80" s="570">
        <v>2613058</v>
      </c>
      <c r="K80" s="570">
        <v>4845292</v>
      </c>
      <c r="L80" s="570">
        <v>0</v>
      </c>
      <c r="M80" s="542">
        <f t="shared" si="6"/>
        <v>9075288</v>
      </c>
      <c r="N80" s="570">
        <v>0</v>
      </c>
      <c r="O80" s="570"/>
      <c r="P80" s="570">
        <v>0</v>
      </c>
      <c r="Q80" s="570">
        <v>0</v>
      </c>
      <c r="R80" s="570">
        <v>3522138</v>
      </c>
      <c r="S80" s="462">
        <f t="shared" si="7"/>
        <v>12597426</v>
      </c>
      <c r="T80" s="470">
        <f t="shared" si="17"/>
        <v>0.4511015663945225</v>
      </c>
      <c r="U80" s="471"/>
    </row>
    <row r="81" spans="1:21" s="385" customFormat="1" ht="39.75" customHeight="1">
      <c r="A81" s="430" t="s">
        <v>567</v>
      </c>
      <c r="B81" s="449" t="s">
        <v>461</v>
      </c>
      <c r="C81" s="462">
        <f t="shared" si="3"/>
        <v>24578</v>
      </c>
      <c r="D81" s="570">
        <v>18075</v>
      </c>
      <c r="E81" s="570">
        <v>6503</v>
      </c>
      <c r="F81" s="570">
        <v>0</v>
      </c>
      <c r="G81" s="570">
        <v>0</v>
      </c>
      <c r="H81" s="467">
        <f t="shared" si="4"/>
        <v>24578</v>
      </c>
      <c r="I81" s="467">
        <f t="shared" si="5"/>
        <v>6503</v>
      </c>
      <c r="J81" s="570">
        <v>6503</v>
      </c>
      <c r="K81" s="570">
        <v>0</v>
      </c>
      <c r="L81" s="570">
        <v>0</v>
      </c>
      <c r="M81" s="542">
        <f t="shared" si="6"/>
        <v>0</v>
      </c>
      <c r="N81" s="570">
        <v>0</v>
      </c>
      <c r="O81" s="570">
        <v>0</v>
      </c>
      <c r="P81" s="570">
        <v>0</v>
      </c>
      <c r="Q81" s="570">
        <v>0</v>
      </c>
      <c r="R81" s="570">
        <v>18075</v>
      </c>
      <c r="S81" s="462">
        <f t="shared" si="7"/>
        <v>18075</v>
      </c>
      <c r="T81" s="470">
        <f t="shared" si="17"/>
        <v>1</v>
      </c>
      <c r="U81" s="471"/>
    </row>
    <row r="82" spans="1:21" s="385" customFormat="1" ht="39.75" customHeight="1">
      <c r="A82" s="432" t="s">
        <v>63</v>
      </c>
      <c r="B82" s="446" t="s">
        <v>527</v>
      </c>
      <c r="C82" s="462">
        <f t="shared" si="3"/>
        <v>43949286</v>
      </c>
      <c r="D82" s="467">
        <f>D83+D84+D85+D86</f>
        <v>29895379</v>
      </c>
      <c r="E82" s="467">
        <f aca="true" t="shared" si="20" ref="E82:R82">E83+E84+E85+E86</f>
        <v>14053907</v>
      </c>
      <c r="F82" s="467">
        <f t="shared" si="20"/>
        <v>1765272</v>
      </c>
      <c r="G82" s="467">
        <f t="shared" si="20"/>
        <v>0</v>
      </c>
      <c r="H82" s="467">
        <f t="shared" si="4"/>
        <v>42184014</v>
      </c>
      <c r="I82" s="467">
        <f t="shared" si="5"/>
        <v>29669733</v>
      </c>
      <c r="J82" s="467">
        <f t="shared" si="20"/>
        <v>4075235</v>
      </c>
      <c r="K82" s="467">
        <f t="shared" si="20"/>
        <v>1406391</v>
      </c>
      <c r="L82" s="467">
        <f t="shared" si="20"/>
        <v>0</v>
      </c>
      <c r="M82" s="571">
        <f t="shared" si="6"/>
        <v>23341505</v>
      </c>
      <c r="N82" s="467">
        <f t="shared" si="20"/>
        <v>347701</v>
      </c>
      <c r="O82" s="467">
        <f t="shared" si="20"/>
        <v>498901</v>
      </c>
      <c r="P82" s="467">
        <f t="shared" si="20"/>
        <v>0</v>
      </c>
      <c r="Q82" s="467">
        <f t="shared" si="20"/>
        <v>0</v>
      </c>
      <c r="R82" s="467">
        <f t="shared" si="20"/>
        <v>12514281</v>
      </c>
      <c r="S82" s="462">
        <f t="shared" si="7"/>
        <v>36702388</v>
      </c>
      <c r="T82" s="470">
        <f t="shared" si="17"/>
        <v>0.1847548139378268</v>
      </c>
      <c r="U82" s="471"/>
    </row>
    <row r="83" spans="1:21" s="385" customFormat="1" ht="39.75" customHeight="1">
      <c r="A83" s="430" t="s">
        <v>528</v>
      </c>
      <c r="B83" s="450" t="s">
        <v>529</v>
      </c>
      <c r="C83" s="462">
        <f t="shared" si="3"/>
        <v>70822</v>
      </c>
      <c r="D83" s="561">
        <v>0</v>
      </c>
      <c r="E83" s="561">
        <f>69422+1400</f>
        <v>70822</v>
      </c>
      <c r="F83" s="561">
        <v>0</v>
      </c>
      <c r="G83" s="561">
        <v>0</v>
      </c>
      <c r="H83" s="467">
        <f t="shared" si="4"/>
        <v>70822</v>
      </c>
      <c r="I83" s="467">
        <f t="shared" si="5"/>
        <v>70822</v>
      </c>
      <c r="J83" s="561">
        <f>69422+1400</f>
        <v>70822</v>
      </c>
      <c r="K83" s="561">
        <v>0</v>
      </c>
      <c r="L83" s="561">
        <v>0</v>
      </c>
      <c r="M83" s="542">
        <f t="shared" si="6"/>
        <v>0</v>
      </c>
      <c r="N83" s="561">
        <v>0</v>
      </c>
      <c r="O83" s="561">
        <v>0</v>
      </c>
      <c r="P83" s="561">
        <v>0</v>
      </c>
      <c r="Q83" s="562">
        <v>0</v>
      </c>
      <c r="R83" s="563">
        <v>0</v>
      </c>
      <c r="S83" s="462">
        <f t="shared" si="7"/>
        <v>0</v>
      </c>
      <c r="T83" s="470">
        <f t="shared" si="17"/>
        <v>1</v>
      </c>
      <c r="U83" s="471"/>
    </row>
    <row r="84" spans="1:21" s="385" customFormat="1" ht="39.75" customHeight="1">
      <c r="A84" s="430" t="s">
        <v>530</v>
      </c>
      <c r="B84" s="450" t="s">
        <v>531</v>
      </c>
      <c r="C84" s="462">
        <f t="shared" si="3"/>
        <v>7636718</v>
      </c>
      <c r="D84" s="561">
        <v>6601253</v>
      </c>
      <c r="E84" s="561">
        <f>605531+429934</f>
        <v>1035465</v>
      </c>
      <c r="F84" s="561">
        <v>0</v>
      </c>
      <c r="G84" s="561">
        <v>0</v>
      </c>
      <c r="H84" s="467">
        <f aca="true" t="shared" si="21" ref="H84:H97">C84-F84</f>
        <v>7636718</v>
      </c>
      <c r="I84" s="467">
        <f t="shared" si="5"/>
        <v>5986514</v>
      </c>
      <c r="J84" s="561">
        <f>538202+60686</f>
        <v>598888</v>
      </c>
      <c r="K84" s="561">
        <v>0</v>
      </c>
      <c r="L84" s="561">
        <v>0</v>
      </c>
      <c r="M84" s="542">
        <f t="shared" si="6"/>
        <v>5137242</v>
      </c>
      <c r="N84" s="561">
        <v>124687</v>
      </c>
      <c r="O84" s="561">
        <v>125697</v>
      </c>
      <c r="P84" s="561">
        <v>0</v>
      </c>
      <c r="Q84" s="562">
        <v>0</v>
      </c>
      <c r="R84" s="563">
        <v>1650204</v>
      </c>
      <c r="S84" s="462">
        <f t="shared" si="7"/>
        <v>7037830</v>
      </c>
      <c r="T84" s="470">
        <f t="shared" si="17"/>
        <v>0.10003952216598842</v>
      </c>
      <c r="U84" s="471"/>
    </row>
    <row r="85" spans="1:21" s="385" customFormat="1" ht="39.75" customHeight="1">
      <c r="A85" s="430" t="s">
        <v>532</v>
      </c>
      <c r="B85" s="450" t="s">
        <v>474</v>
      </c>
      <c r="C85" s="462">
        <f t="shared" si="3"/>
        <v>13361311</v>
      </c>
      <c r="D85" s="561">
        <v>8890833</v>
      </c>
      <c r="E85" s="561">
        <f>4348334+122144</f>
        <v>4470478</v>
      </c>
      <c r="F85" s="561">
        <v>1667658</v>
      </c>
      <c r="G85" s="561"/>
      <c r="H85" s="467">
        <f t="shared" si="21"/>
        <v>11693653</v>
      </c>
      <c r="I85" s="467">
        <f t="shared" si="5"/>
        <v>10697647</v>
      </c>
      <c r="J85" s="561">
        <f>1111105+84618</f>
        <v>1195723</v>
      </c>
      <c r="K85" s="561">
        <v>456509</v>
      </c>
      <c r="L85" s="561"/>
      <c r="M85" s="542">
        <f t="shared" si="6"/>
        <v>9045415</v>
      </c>
      <c r="N85" s="561"/>
      <c r="O85" s="561"/>
      <c r="P85" s="561"/>
      <c r="Q85" s="562"/>
      <c r="R85" s="563">
        <v>996006</v>
      </c>
      <c r="S85" s="462">
        <f t="shared" si="7"/>
        <v>10041421</v>
      </c>
      <c r="T85" s="470">
        <f t="shared" si="17"/>
        <v>0.15444816977041773</v>
      </c>
      <c r="U85" s="471"/>
    </row>
    <row r="86" spans="1:21" s="385" customFormat="1" ht="39.75" customHeight="1">
      <c r="A86" s="430" t="s">
        <v>579</v>
      </c>
      <c r="B86" s="450" t="s">
        <v>533</v>
      </c>
      <c r="C86" s="462">
        <f t="shared" si="3"/>
        <v>22880435</v>
      </c>
      <c r="D86" s="561">
        <v>14403293</v>
      </c>
      <c r="E86" s="561">
        <f>8135228+341914</f>
        <v>8477142</v>
      </c>
      <c r="F86" s="561">
        <f>20761+76853</f>
        <v>97614</v>
      </c>
      <c r="G86" s="561">
        <v>0</v>
      </c>
      <c r="H86" s="467">
        <f t="shared" si="21"/>
        <v>22782821</v>
      </c>
      <c r="I86" s="467">
        <f t="shared" si="5"/>
        <v>12914750</v>
      </c>
      <c r="J86" s="561">
        <f>1158318+1051484</f>
        <v>2209802</v>
      </c>
      <c r="K86" s="561">
        <f>910163+39719</f>
        <v>949882</v>
      </c>
      <c r="L86" s="561">
        <v>0</v>
      </c>
      <c r="M86" s="542">
        <f t="shared" si="6"/>
        <v>9158848</v>
      </c>
      <c r="N86" s="561">
        <v>223014</v>
      </c>
      <c r="O86" s="561">
        <v>373204</v>
      </c>
      <c r="P86" s="561">
        <v>0</v>
      </c>
      <c r="Q86" s="562">
        <v>0</v>
      </c>
      <c r="R86" s="563">
        <v>9868071</v>
      </c>
      <c r="S86" s="462">
        <f t="shared" si="7"/>
        <v>19623137</v>
      </c>
      <c r="T86" s="470">
        <f t="shared" si="17"/>
        <v>0.2446570007162353</v>
      </c>
      <c r="U86" s="471"/>
    </row>
    <row r="87" spans="1:21" s="385" customFormat="1" ht="39.75" customHeight="1">
      <c r="A87" s="432" t="s">
        <v>83</v>
      </c>
      <c r="B87" s="446" t="s">
        <v>534</v>
      </c>
      <c r="C87" s="462">
        <f t="shared" si="3"/>
        <v>35165781</v>
      </c>
      <c r="D87" s="467">
        <f>D88+D89+D90</f>
        <v>31710212</v>
      </c>
      <c r="E87" s="467">
        <f aca="true" t="shared" si="22" ref="E87:S87">E88+E89+E90</f>
        <v>3455569</v>
      </c>
      <c r="F87" s="467">
        <f t="shared" si="22"/>
        <v>0</v>
      </c>
      <c r="G87" s="467">
        <f t="shared" si="22"/>
        <v>0</v>
      </c>
      <c r="H87" s="467">
        <f t="shared" si="22"/>
        <v>35165781</v>
      </c>
      <c r="I87" s="467">
        <f t="shared" si="22"/>
        <v>33765509</v>
      </c>
      <c r="J87" s="467">
        <f t="shared" si="22"/>
        <v>724036</v>
      </c>
      <c r="K87" s="467">
        <f t="shared" si="22"/>
        <v>176338</v>
      </c>
      <c r="L87" s="467">
        <f t="shared" si="22"/>
        <v>0</v>
      </c>
      <c r="M87" s="467">
        <f t="shared" si="22"/>
        <v>32838485</v>
      </c>
      <c r="N87" s="467">
        <f t="shared" si="22"/>
        <v>0</v>
      </c>
      <c r="O87" s="467">
        <f t="shared" si="22"/>
        <v>0</v>
      </c>
      <c r="P87" s="467">
        <f t="shared" si="22"/>
        <v>0</v>
      </c>
      <c r="Q87" s="467">
        <f t="shared" si="22"/>
        <v>26650</v>
      </c>
      <c r="R87" s="467">
        <f t="shared" si="22"/>
        <v>1400272</v>
      </c>
      <c r="S87" s="462">
        <f t="shared" si="22"/>
        <v>34265407</v>
      </c>
      <c r="T87" s="470">
        <f t="shared" si="17"/>
        <v>0.02666549466202331</v>
      </c>
      <c r="U87" s="471"/>
    </row>
    <row r="88" spans="1:21" s="385" customFormat="1" ht="39.75" customHeight="1">
      <c r="A88" s="430" t="s">
        <v>535</v>
      </c>
      <c r="B88" s="440" t="s">
        <v>536</v>
      </c>
      <c r="C88" s="462">
        <f t="shared" si="3"/>
        <v>442918</v>
      </c>
      <c r="D88" s="572">
        <v>98867</v>
      </c>
      <c r="E88" s="572">
        <v>344051</v>
      </c>
      <c r="F88" s="572">
        <v>0</v>
      </c>
      <c r="G88" s="572">
        <v>0</v>
      </c>
      <c r="H88" s="467">
        <f t="shared" si="21"/>
        <v>442918</v>
      </c>
      <c r="I88" s="467">
        <f t="shared" si="5"/>
        <v>397518</v>
      </c>
      <c r="J88" s="573">
        <v>266951</v>
      </c>
      <c r="K88" s="573">
        <v>0</v>
      </c>
      <c r="L88" s="573">
        <v>0</v>
      </c>
      <c r="M88" s="489">
        <f t="shared" si="6"/>
        <v>103917</v>
      </c>
      <c r="N88" s="573">
        <v>0</v>
      </c>
      <c r="O88" s="573">
        <v>0</v>
      </c>
      <c r="P88" s="573">
        <v>0</v>
      </c>
      <c r="Q88" s="574">
        <v>26650</v>
      </c>
      <c r="R88" s="575">
        <v>45400</v>
      </c>
      <c r="S88" s="462">
        <f t="shared" si="7"/>
        <v>175967</v>
      </c>
      <c r="T88" s="470">
        <f t="shared" si="17"/>
        <v>0.671544433208056</v>
      </c>
      <c r="U88" s="471"/>
    </row>
    <row r="89" spans="1:21" s="385" customFormat="1" ht="39.75" customHeight="1">
      <c r="A89" s="430" t="s">
        <v>537</v>
      </c>
      <c r="B89" s="440" t="s">
        <v>538</v>
      </c>
      <c r="C89" s="462">
        <f t="shared" si="3"/>
        <v>6540288</v>
      </c>
      <c r="D89" s="572">
        <v>3627836</v>
      </c>
      <c r="E89" s="573">
        <v>2912452</v>
      </c>
      <c r="F89" s="573">
        <v>0</v>
      </c>
      <c r="G89" s="573">
        <v>0</v>
      </c>
      <c r="H89" s="467">
        <f t="shared" si="21"/>
        <v>6540288</v>
      </c>
      <c r="I89" s="467">
        <f t="shared" si="5"/>
        <v>5454901</v>
      </c>
      <c r="J89" s="573">
        <v>409384</v>
      </c>
      <c r="K89" s="573">
        <v>176338</v>
      </c>
      <c r="L89" s="573">
        <v>0</v>
      </c>
      <c r="M89" s="489">
        <f t="shared" si="6"/>
        <v>4869179</v>
      </c>
      <c r="N89" s="573">
        <v>0</v>
      </c>
      <c r="O89" s="573">
        <v>0</v>
      </c>
      <c r="P89" s="573">
        <v>0</v>
      </c>
      <c r="Q89" s="574">
        <v>0</v>
      </c>
      <c r="R89" s="575">
        <v>1085387</v>
      </c>
      <c r="S89" s="462">
        <f t="shared" si="7"/>
        <v>5954566</v>
      </c>
      <c r="T89" s="470">
        <f t="shared" si="17"/>
        <v>0.10737536758228976</v>
      </c>
      <c r="U89" s="471"/>
    </row>
    <row r="90" spans="1:21" s="385" customFormat="1" ht="39.75" customHeight="1">
      <c r="A90" s="430" t="s">
        <v>539</v>
      </c>
      <c r="B90" s="441" t="s">
        <v>540</v>
      </c>
      <c r="C90" s="462">
        <f t="shared" si="3"/>
        <v>28182575</v>
      </c>
      <c r="D90" s="576">
        <v>27983509</v>
      </c>
      <c r="E90" s="575">
        <v>199066</v>
      </c>
      <c r="F90" s="575">
        <v>0</v>
      </c>
      <c r="G90" s="575" t="s">
        <v>445</v>
      </c>
      <c r="H90" s="467">
        <f t="shared" si="21"/>
        <v>28182575</v>
      </c>
      <c r="I90" s="467">
        <f t="shared" si="5"/>
        <v>27913090</v>
      </c>
      <c r="J90" s="575">
        <v>47701</v>
      </c>
      <c r="K90" s="575">
        <v>0</v>
      </c>
      <c r="L90" s="575" t="s">
        <v>445</v>
      </c>
      <c r="M90" s="489">
        <f t="shared" si="6"/>
        <v>27865389</v>
      </c>
      <c r="N90" s="575">
        <v>0</v>
      </c>
      <c r="O90" s="575" t="s">
        <v>445</v>
      </c>
      <c r="P90" s="575" t="s">
        <v>445</v>
      </c>
      <c r="Q90" s="575" t="s">
        <v>445</v>
      </c>
      <c r="R90" s="575">
        <v>269485</v>
      </c>
      <c r="S90" s="462">
        <f t="shared" si="7"/>
        <v>28134874</v>
      </c>
      <c r="T90" s="470">
        <f t="shared" si="17"/>
        <v>0.0017089114820322653</v>
      </c>
      <c r="U90" s="471"/>
    </row>
    <row r="91" spans="1:21" s="385" customFormat="1" ht="39.75" customHeight="1">
      <c r="A91" s="432" t="s">
        <v>84</v>
      </c>
      <c r="B91" s="446" t="s">
        <v>541</v>
      </c>
      <c r="C91" s="462">
        <f t="shared" si="3"/>
        <v>29074356</v>
      </c>
      <c r="D91" s="467">
        <f>D92+D93+D94</f>
        <v>27417215</v>
      </c>
      <c r="E91" s="467">
        <f aca="true" t="shared" si="23" ref="E91:S91">E92+E93+E94</f>
        <v>1657141</v>
      </c>
      <c r="F91" s="467">
        <f t="shared" si="23"/>
        <v>449122</v>
      </c>
      <c r="G91" s="467">
        <f t="shared" si="23"/>
        <v>0</v>
      </c>
      <c r="H91" s="467">
        <f t="shared" si="23"/>
        <v>28625234</v>
      </c>
      <c r="I91" s="467">
        <f t="shared" si="23"/>
        <v>11327348</v>
      </c>
      <c r="J91" s="467">
        <f t="shared" si="23"/>
        <v>166757</v>
      </c>
      <c r="K91" s="467">
        <f t="shared" si="23"/>
        <v>423925</v>
      </c>
      <c r="L91" s="467">
        <f t="shared" si="23"/>
        <v>0</v>
      </c>
      <c r="M91" s="467">
        <f t="shared" si="23"/>
        <v>10736666</v>
      </c>
      <c r="N91" s="467">
        <f t="shared" si="23"/>
        <v>0</v>
      </c>
      <c r="O91" s="467">
        <f t="shared" si="23"/>
        <v>0</v>
      </c>
      <c r="P91" s="467">
        <f t="shared" si="23"/>
        <v>0</v>
      </c>
      <c r="Q91" s="467">
        <f t="shared" si="23"/>
        <v>0</v>
      </c>
      <c r="R91" s="467">
        <f t="shared" si="23"/>
        <v>17297886</v>
      </c>
      <c r="S91" s="462">
        <f t="shared" si="23"/>
        <v>28034552</v>
      </c>
      <c r="T91" s="470">
        <f t="shared" si="17"/>
        <v>0.05214653950774709</v>
      </c>
      <c r="U91" s="471"/>
    </row>
    <row r="92" spans="1:21" s="385" customFormat="1" ht="39.75" customHeight="1">
      <c r="A92" s="430" t="s">
        <v>542</v>
      </c>
      <c r="B92" s="434" t="s">
        <v>556</v>
      </c>
      <c r="C92" s="462">
        <f t="shared" si="3"/>
        <v>1959496</v>
      </c>
      <c r="D92" s="490">
        <v>1889500</v>
      </c>
      <c r="E92" s="577">
        <v>69996</v>
      </c>
      <c r="F92" s="577">
        <v>10622</v>
      </c>
      <c r="G92" s="577"/>
      <c r="H92" s="467">
        <f t="shared" si="21"/>
        <v>1948874</v>
      </c>
      <c r="I92" s="467">
        <f t="shared" si="5"/>
        <v>297831</v>
      </c>
      <c r="J92" s="577">
        <v>65557</v>
      </c>
      <c r="K92" s="577">
        <v>0</v>
      </c>
      <c r="L92" s="490"/>
      <c r="M92" s="542">
        <f t="shared" si="6"/>
        <v>232274</v>
      </c>
      <c r="N92" s="577">
        <v>0</v>
      </c>
      <c r="O92" s="577"/>
      <c r="P92" s="577"/>
      <c r="Q92" s="577"/>
      <c r="R92" s="577">
        <v>1651043</v>
      </c>
      <c r="S92" s="462">
        <f t="shared" si="7"/>
        <v>1883317</v>
      </c>
      <c r="T92" s="470">
        <f t="shared" si="17"/>
        <v>0.22011476307033184</v>
      </c>
      <c r="U92" s="471"/>
    </row>
    <row r="93" spans="1:21" s="385" customFormat="1" ht="39.75" customHeight="1">
      <c r="A93" s="430" t="s">
        <v>544</v>
      </c>
      <c r="B93" s="434" t="s">
        <v>545</v>
      </c>
      <c r="C93" s="462">
        <f t="shared" si="3"/>
        <v>18366611</v>
      </c>
      <c r="D93" s="490">
        <v>16854426</v>
      </c>
      <c r="E93" s="577">
        <v>1512185</v>
      </c>
      <c r="F93" s="577">
        <v>438500</v>
      </c>
      <c r="G93" s="577">
        <v>0</v>
      </c>
      <c r="H93" s="467">
        <f t="shared" si="21"/>
        <v>17928111</v>
      </c>
      <c r="I93" s="467">
        <f t="shared" si="5"/>
        <v>2950805</v>
      </c>
      <c r="J93" s="577">
        <v>58390</v>
      </c>
      <c r="K93" s="577">
        <v>128425</v>
      </c>
      <c r="L93" s="490">
        <v>0</v>
      </c>
      <c r="M93" s="542">
        <f t="shared" si="6"/>
        <v>2763990</v>
      </c>
      <c r="N93" s="577">
        <v>0</v>
      </c>
      <c r="O93" s="577">
        <v>0</v>
      </c>
      <c r="P93" s="577">
        <v>0</v>
      </c>
      <c r="Q93" s="577">
        <v>0</v>
      </c>
      <c r="R93" s="577">
        <v>14977306</v>
      </c>
      <c r="S93" s="462">
        <f t="shared" si="7"/>
        <v>17741296</v>
      </c>
      <c r="T93" s="470">
        <f t="shared" si="17"/>
        <v>0.06330984256838389</v>
      </c>
      <c r="U93" s="471"/>
    </row>
    <row r="94" spans="1:21" s="385" customFormat="1" ht="39.75" customHeight="1">
      <c r="A94" s="442" t="s">
        <v>546</v>
      </c>
      <c r="B94" s="434" t="s">
        <v>547</v>
      </c>
      <c r="C94" s="462">
        <f t="shared" si="3"/>
        <v>8748249</v>
      </c>
      <c r="D94" s="490">
        <v>8673289</v>
      </c>
      <c r="E94" s="577">
        <f>65160+9800</f>
        <v>74960</v>
      </c>
      <c r="F94" s="577">
        <v>0</v>
      </c>
      <c r="G94" s="577">
        <v>0</v>
      </c>
      <c r="H94" s="467">
        <f t="shared" si="21"/>
        <v>8748249</v>
      </c>
      <c r="I94" s="467">
        <f t="shared" si="5"/>
        <v>8078712</v>
      </c>
      <c r="J94" s="577">
        <f>37810+5000</f>
        <v>42810</v>
      </c>
      <c r="K94" s="577">
        <f>280000+15500</f>
        <v>295500</v>
      </c>
      <c r="L94" s="490">
        <v>0</v>
      </c>
      <c r="M94" s="542">
        <f t="shared" si="6"/>
        <v>7740402</v>
      </c>
      <c r="N94" s="577">
        <v>0</v>
      </c>
      <c r="O94" s="577">
        <v>0</v>
      </c>
      <c r="P94" s="577">
        <v>0</v>
      </c>
      <c r="Q94" s="577">
        <v>0</v>
      </c>
      <c r="R94" s="578">
        <v>669537</v>
      </c>
      <c r="S94" s="462">
        <f t="shared" si="7"/>
        <v>8409939</v>
      </c>
      <c r="T94" s="470">
        <f t="shared" si="17"/>
        <v>0.041876724903672766</v>
      </c>
      <c r="U94" s="471"/>
    </row>
    <row r="95" spans="1:21" s="385" customFormat="1" ht="39.75" customHeight="1">
      <c r="A95" s="432" t="s">
        <v>85</v>
      </c>
      <c r="B95" s="433" t="s">
        <v>548</v>
      </c>
      <c r="C95" s="462">
        <f t="shared" si="3"/>
        <v>9337918</v>
      </c>
      <c r="D95" s="467">
        <f>D96+D97</f>
        <v>4958499</v>
      </c>
      <c r="E95" s="467">
        <f aca="true" t="shared" si="24" ref="E95:R95">E96+E97</f>
        <v>4379419</v>
      </c>
      <c r="F95" s="467">
        <f t="shared" si="24"/>
        <v>0</v>
      </c>
      <c r="G95" s="467">
        <f t="shared" si="24"/>
        <v>0</v>
      </c>
      <c r="H95" s="467">
        <f t="shared" si="24"/>
        <v>9337918</v>
      </c>
      <c r="I95" s="467">
        <f t="shared" si="24"/>
        <v>7717023</v>
      </c>
      <c r="J95" s="467">
        <f t="shared" si="24"/>
        <v>1224828</v>
      </c>
      <c r="K95" s="467">
        <f t="shared" si="24"/>
        <v>475137</v>
      </c>
      <c r="L95" s="467">
        <f t="shared" si="24"/>
        <v>0</v>
      </c>
      <c r="M95" s="467">
        <f t="shared" si="24"/>
        <v>6017058</v>
      </c>
      <c r="N95" s="467">
        <f t="shared" si="24"/>
        <v>0</v>
      </c>
      <c r="O95" s="467">
        <f t="shared" si="24"/>
        <v>0</v>
      </c>
      <c r="P95" s="467">
        <f t="shared" si="24"/>
        <v>0</v>
      </c>
      <c r="Q95" s="467">
        <f t="shared" si="24"/>
        <v>0</v>
      </c>
      <c r="R95" s="467">
        <f t="shared" si="24"/>
        <v>1620895</v>
      </c>
      <c r="S95" s="462">
        <f t="shared" si="7"/>
        <v>7637953</v>
      </c>
      <c r="T95" s="470">
        <f t="shared" si="17"/>
        <v>0.220287667925831</v>
      </c>
      <c r="U95" s="471"/>
    </row>
    <row r="96" spans="1:21" s="385" customFormat="1" ht="39.75" customHeight="1">
      <c r="A96" s="430" t="s">
        <v>549</v>
      </c>
      <c r="B96" s="434" t="s">
        <v>550</v>
      </c>
      <c r="C96" s="462">
        <f t="shared" si="3"/>
        <v>5092374</v>
      </c>
      <c r="D96" s="541">
        <v>777871</v>
      </c>
      <c r="E96" s="541">
        <v>4314503</v>
      </c>
      <c r="F96" s="541"/>
      <c r="G96" s="541">
        <v>0</v>
      </c>
      <c r="H96" s="467">
        <f t="shared" si="21"/>
        <v>5092374</v>
      </c>
      <c r="I96" s="467">
        <f t="shared" si="5"/>
        <v>5061164</v>
      </c>
      <c r="J96" s="541">
        <v>537146</v>
      </c>
      <c r="K96" s="541">
        <v>463960</v>
      </c>
      <c r="L96" s="541">
        <v>0</v>
      </c>
      <c r="M96" s="542">
        <f t="shared" si="6"/>
        <v>4060058</v>
      </c>
      <c r="N96" s="541"/>
      <c r="O96" s="541"/>
      <c r="P96" s="541"/>
      <c r="Q96" s="541"/>
      <c r="R96" s="542">
        <v>31210</v>
      </c>
      <c r="S96" s="462">
        <f t="shared" si="7"/>
        <v>4091268</v>
      </c>
      <c r="T96" s="470">
        <f t="shared" si="17"/>
        <v>0.1978015334021976</v>
      </c>
      <c r="U96" s="471"/>
    </row>
    <row r="97" spans="1:21" ht="39.75" customHeight="1" thickBot="1">
      <c r="A97" s="430" t="s">
        <v>551</v>
      </c>
      <c r="B97" s="434" t="s">
        <v>552</v>
      </c>
      <c r="C97" s="462">
        <f t="shared" si="3"/>
        <v>4245544</v>
      </c>
      <c r="D97" s="541">
        <v>4180628</v>
      </c>
      <c r="E97" s="541">
        <v>64916</v>
      </c>
      <c r="F97" s="541"/>
      <c r="G97" s="541">
        <v>0</v>
      </c>
      <c r="H97" s="467">
        <f t="shared" si="21"/>
        <v>4245544</v>
      </c>
      <c r="I97" s="467">
        <f t="shared" si="5"/>
        <v>2655859</v>
      </c>
      <c r="J97" s="541">
        <v>687682</v>
      </c>
      <c r="K97" s="541">
        <v>11177</v>
      </c>
      <c r="L97" s="541">
        <v>0</v>
      </c>
      <c r="M97" s="542">
        <f t="shared" si="6"/>
        <v>1957000</v>
      </c>
      <c r="N97" s="541"/>
      <c r="O97" s="541"/>
      <c r="P97" s="541"/>
      <c r="Q97" s="541"/>
      <c r="R97" s="542">
        <v>1589685</v>
      </c>
      <c r="S97" s="462">
        <f t="shared" si="7"/>
        <v>3546685</v>
      </c>
      <c r="T97" s="470">
        <f t="shared" si="17"/>
        <v>0.26313859282439317</v>
      </c>
      <c r="U97" s="472"/>
    </row>
    <row r="98" spans="1:20" s="384" customFormat="1" ht="29.25" customHeight="1" thickTop="1">
      <c r="A98" s="891"/>
      <c r="B98" s="891"/>
      <c r="C98" s="891"/>
      <c r="D98" s="891"/>
      <c r="E98" s="891"/>
      <c r="F98" s="421"/>
      <c r="G98" s="416"/>
      <c r="H98" s="416"/>
      <c r="I98" s="416"/>
      <c r="J98" s="416"/>
      <c r="K98" s="416"/>
      <c r="L98" s="416"/>
      <c r="M98" s="416"/>
      <c r="N98" s="416"/>
      <c r="O98" s="898" t="str">
        <f>'Thong tin'!B8</f>
        <v>Lâm Đồng, ngày 06 tháng 02 năm 2017</v>
      </c>
      <c r="P98" s="898"/>
      <c r="Q98" s="898"/>
      <c r="R98" s="898"/>
      <c r="S98" s="898"/>
      <c r="T98" s="898"/>
    </row>
    <row r="99" spans="1:20" s="405" customFormat="1" ht="19.5" customHeight="1">
      <c r="A99" s="418"/>
      <c r="B99" s="886" t="s">
        <v>4</v>
      </c>
      <c r="C99" s="886"/>
      <c r="D99" s="886"/>
      <c r="E99" s="886"/>
      <c r="F99" s="414"/>
      <c r="G99" s="414"/>
      <c r="H99" s="414"/>
      <c r="I99" s="414"/>
      <c r="J99" s="414"/>
      <c r="K99" s="414"/>
      <c r="L99" s="414"/>
      <c r="M99" s="414"/>
      <c r="N99" s="414"/>
      <c r="O99" s="890" t="str">
        <f>'Thong tin'!B7</f>
        <v>CỤC TRƯỞNG</v>
      </c>
      <c r="P99" s="890"/>
      <c r="Q99" s="890"/>
      <c r="R99" s="890"/>
      <c r="S99" s="890"/>
      <c r="T99" s="890"/>
    </row>
    <row r="100" spans="1:20" ht="18.75">
      <c r="A100" s="412"/>
      <c r="B100" s="897"/>
      <c r="C100" s="897"/>
      <c r="D100" s="897"/>
      <c r="E100" s="413"/>
      <c r="F100" s="413"/>
      <c r="G100" s="413"/>
      <c r="H100" s="413"/>
      <c r="I100" s="413"/>
      <c r="J100" s="413"/>
      <c r="K100" s="413"/>
      <c r="L100" s="413"/>
      <c r="M100" s="413"/>
      <c r="N100" s="413"/>
      <c r="O100" s="895"/>
      <c r="P100" s="895"/>
      <c r="Q100" s="895"/>
      <c r="R100" s="895"/>
      <c r="S100" s="895"/>
      <c r="T100" s="895"/>
    </row>
    <row r="101" spans="1:20" ht="18.75">
      <c r="A101" s="412"/>
      <c r="B101" s="412"/>
      <c r="C101" s="412"/>
      <c r="D101" s="413"/>
      <c r="E101" s="413"/>
      <c r="F101" s="413"/>
      <c r="G101" s="413"/>
      <c r="H101" s="413"/>
      <c r="I101" s="413"/>
      <c r="J101" s="413"/>
      <c r="K101" s="413"/>
      <c r="L101" s="413"/>
      <c r="M101" s="413"/>
      <c r="N101" s="413"/>
      <c r="O101" s="413"/>
      <c r="P101" s="413"/>
      <c r="Q101" s="413"/>
      <c r="R101" s="413"/>
      <c r="S101" s="412"/>
      <c r="T101" s="412"/>
    </row>
    <row r="102" spans="1:20" ht="15.75">
      <c r="A102" s="411"/>
      <c r="B102" s="917"/>
      <c r="C102" s="917"/>
      <c r="D102" s="917"/>
      <c r="E102" s="422"/>
      <c r="F102" s="422"/>
      <c r="G102" s="422"/>
      <c r="H102" s="422"/>
      <c r="I102" s="422"/>
      <c r="J102" s="422"/>
      <c r="K102" s="422"/>
      <c r="L102" s="422"/>
      <c r="M102" s="422"/>
      <c r="N102" s="422"/>
      <c r="O102" s="422"/>
      <c r="P102" s="422"/>
      <c r="Q102" s="917"/>
      <c r="R102" s="917"/>
      <c r="S102" s="917"/>
      <c r="T102" s="411"/>
    </row>
    <row r="103" spans="1:20" ht="15.75" customHeight="1">
      <c r="A103" s="423"/>
      <c r="B103" s="417"/>
      <c r="C103" s="417"/>
      <c r="D103" s="424"/>
      <c r="E103" s="424"/>
      <c r="F103" s="424"/>
      <c r="G103" s="424"/>
      <c r="H103" s="424"/>
      <c r="I103" s="424"/>
      <c r="J103" s="424"/>
      <c r="K103" s="424"/>
      <c r="L103" s="424"/>
      <c r="M103" s="424"/>
      <c r="N103" s="424"/>
      <c r="O103" s="424"/>
      <c r="P103" s="424"/>
      <c r="Q103" s="424"/>
      <c r="R103" s="424"/>
      <c r="S103" s="417"/>
      <c r="T103" s="417"/>
    </row>
    <row r="104" spans="1:20" ht="15.75" customHeight="1">
      <c r="A104" s="411"/>
      <c r="B104" s="920"/>
      <c r="C104" s="920"/>
      <c r="D104" s="920"/>
      <c r="E104" s="920"/>
      <c r="F104" s="920"/>
      <c r="G104" s="920"/>
      <c r="H104" s="920"/>
      <c r="I104" s="920"/>
      <c r="J104" s="920"/>
      <c r="K104" s="920"/>
      <c r="L104" s="920"/>
      <c r="M104" s="920"/>
      <c r="N104" s="920"/>
      <c r="O104" s="920"/>
      <c r="P104" s="920"/>
      <c r="Q104" s="422"/>
      <c r="R104" s="422"/>
      <c r="S104" s="411"/>
      <c r="T104" s="411"/>
    </row>
    <row r="105" spans="1:20" ht="15.75">
      <c r="A105" s="425"/>
      <c r="B105" s="425"/>
      <c r="C105" s="425"/>
      <c r="D105" s="425"/>
      <c r="E105" s="425"/>
      <c r="F105" s="425"/>
      <c r="G105" s="425"/>
      <c r="H105" s="425"/>
      <c r="I105" s="425"/>
      <c r="J105" s="425"/>
      <c r="K105" s="425"/>
      <c r="L105" s="425"/>
      <c r="M105" s="425"/>
      <c r="N105" s="425"/>
      <c r="O105" s="425"/>
      <c r="P105" s="425"/>
      <c r="Q105" s="425"/>
      <c r="R105" s="411"/>
      <c r="S105" s="411"/>
      <c r="T105" s="411"/>
    </row>
    <row r="106" spans="1:20" ht="18.75">
      <c r="A106" s="411"/>
      <c r="B106" s="882" t="str">
        <f>'Thong tin'!B5</f>
        <v>Phạm Ngọc Hoa</v>
      </c>
      <c r="C106" s="882"/>
      <c r="D106" s="882"/>
      <c r="E106" s="882"/>
      <c r="F106" s="417"/>
      <c r="G106" s="417"/>
      <c r="H106" s="417"/>
      <c r="I106" s="417"/>
      <c r="J106" s="417"/>
      <c r="K106" s="417"/>
      <c r="L106" s="417"/>
      <c r="M106" s="417"/>
      <c r="N106" s="417"/>
      <c r="O106" s="882" t="str">
        <f>'Thong tin'!B6</f>
        <v>Trần Hữu Thọ </v>
      </c>
      <c r="P106" s="882"/>
      <c r="Q106" s="882"/>
      <c r="R106" s="882"/>
      <c r="S106" s="882"/>
      <c r="T106" s="882"/>
    </row>
    <row r="107" spans="2:20" ht="18.75">
      <c r="B107" s="918"/>
      <c r="C107" s="918"/>
      <c r="D107" s="918"/>
      <c r="E107" s="918"/>
      <c r="F107" s="385"/>
      <c r="G107" s="385"/>
      <c r="H107" s="385"/>
      <c r="I107" s="385"/>
      <c r="J107" s="385"/>
      <c r="K107" s="385"/>
      <c r="L107" s="385"/>
      <c r="M107" s="385"/>
      <c r="N107" s="385"/>
      <c r="O107" s="385"/>
      <c r="P107" s="918"/>
      <c r="Q107" s="918"/>
      <c r="R107" s="918"/>
      <c r="S107" s="918"/>
      <c r="T107" s="919"/>
    </row>
  </sheetData>
  <sheetProtection/>
  <mergeCells count="39">
    <mergeCell ref="A3:D3"/>
    <mergeCell ref="A98:E98"/>
    <mergeCell ref="Q102:S102"/>
    <mergeCell ref="B102:D102"/>
    <mergeCell ref="B107:E107"/>
    <mergeCell ref="P107:T107"/>
    <mergeCell ref="B106:E106"/>
    <mergeCell ref="B104:P104"/>
    <mergeCell ref="A11:B11"/>
    <mergeCell ref="A6:B9"/>
    <mergeCell ref="A2:D2"/>
    <mergeCell ref="Q2:T2"/>
    <mergeCell ref="Q4:T4"/>
    <mergeCell ref="O100:T100"/>
    <mergeCell ref="B100:D100"/>
    <mergeCell ref="O99:T99"/>
    <mergeCell ref="T6:T9"/>
    <mergeCell ref="I7:Q7"/>
    <mergeCell ref="O98:T98"/>
    <mergeCell ref="S6:S9"/>
    <mergeCell ref="Q5:T5"/>
    <mergeCell ref="D7:E7"/>
    <mergeCell ref="D8:D9"/>
    <mergeCell ref="E8:E9"/>
    <mergeCell ref="E1:P1"/>
    <mergeCell ref="E2:P2"/>
    <mergeCell ref="E3:P3"/>
    <mergeCell ref="F6:F9"/>
    <mergeCell ref="G6:G9"/>
    <mergeCell ref="H6:R6"/>
    <mergeCell ref="O106:T106"/>
    <mergeCell ref="C6:E6"/>
    <mergeCell ref="C7:C9"/>
    <mergeCell ref="B99:E99"/>
    <mergeCell ref="A10:B10"/>
    <mergeCell ref="R7:R9"/>
    <mergeCell ref="I8:I9"/>
    <mergeCell ref="J8:Q8"/>
    <mergeCell ref="H7:H9"/>
  </mergeCells>
  <printOptions/>
  <pageMargins left="0.24" right="0" top="0" bottom="0" header="0.511811023622047" footer="0.275590551181102"/>
  <pageSetup horizontalDpi="600" verticalDpi="600" orientation="landscape" paperSize="9" scale="48"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35" t="s">
        <v>29</v>
      </c>
      <c r="B1" s="635"/>
      <c r="C1" s="635"/>
      <c r="D1" s="635"/>
      <c r="E1" s="634" t="s">
        <v>378</v>
      </c>
      <c r="F1" s="634"/>
      <c r="G1" s="634"/>
      <c r="H1" s="634"/>
      <c r="I1" s="634"/>
      <c r="J1" s="634"/>
      <c r="K1" s="634"/>
      <c r="L1" s="31" t="s">
        <v>354</v>
      </c>
      <c r="M1" s="31"/>
      <c r="N1" s="31"/>
      <c r="O1" s="32"/>
      <c r="P1" s="32"/>
    </row>
    <row r="2" spans="1:16" ht="15.75" customHeight="1">
      <c r="A2" s="621" t="s">
        <v>245</v>
      </c>
      <c r="B2" s="621"/>
      <c r="C2" s="621"/>
      <c r="D2" s="621"/>
      <c r="E2" s="634"/>
      <c r="F2" s="634"/>
      <c r="G2" s="634"/>
      <c r="H2" s="634"/>
      <c r="I2" s="634"/>
      <c r="J2" s="634"/>
      <c r="K2" s="634"/>
      <c r="L2" s="629" t="s">
        <v>257</v>
      </c>
      <c r="M2" s="629"/>
      <c r="N2" s="629"/>
      <c r="O2" s="35"/>
      <c r="P2" s="32"/>
    </row>
    <row r="3" spans="1:16" ht="18" customHeight="1">
      <c r="A3" s="621" t="s">
        <v>246</v>
      </c>
      <c r="B3" s="621"/>
      <c r="C3" s="621"/>
      <c r="D3" s="621"/>
      <c r="E3" s="622" t="s">
        <v>374</v>
      </c>
      <c r="F3" s="622"/>
      <c r="G3" s="622"/>
      <c r="H3" s="622"/>
      <c r="I3" s="622"/>
      <c r="J3" s="622"/>
      <c r="K3" s="36"/>
      <c r="L3" s="630" t="s">
        <v>373</v>
      </c>
      <c r="M3" s="630"/>
      <c r="N3" s="630"/>
      <c r="O3" s="32"/>
      <c r="P3" s="32"/>
    </row>
    <row r="4" spans="1:16" ht="21" customHeight="1">
      <c r="A4" s="633" t="s">
        <v>260</v>
      </c>
      <c r="B4" s="633"/>
      <c r="C4" s="633"/>
      <c r="D4" s="633"/>
      <c r="E4" s="39"/>
      <c r="F4" s="40"/>
      <c r="G4" s="41"/>
      <c r="H4" s="41"/>
      <c r="I4" s="41"/>
      <c r="J4" s="41"/>
      <c r="K4" s="32"/>
      <c r="L4" s="629" t="s">
        <v>252</v>
      </c>
      <c r="M4" s="629"/>
      <c r="N4" s="629"/>
      <c r="O4" s="35"/>
      <c r="P4" s="32"/>
    </row>
    <row r="5" spans="1:16" ht="18" customHeight="1">
      <c r="A5" s="41"/>
      <c r="B5" s="32"/>
      <c r="C5" s="42"/>
      <c r="D5" s="631"/>
      <c r="E5" s="631"/>
      <c r="F5" s="631"/>
      <c r="G5" s="631"/>
      <c r="H5" s="631"/>
      <c r="I5" s="631"/>
      <c r="J5" s="631"/>
      <c r="K5" s="631"/>
      <c r="L5" s="43" t="s">
        <v>261</v>
      </c>
      <c r="M5" s="43"/>
      <c r="N5" s="43"/>
      <c r="O5" s="32"/>
      <c r="P5" s="32"/>
    </row>
    <row r="6" spans="1:18" ht="33" customHeight="1">
      <c r="A6" s="639" t="s">
        <v>57</v>
      </c>
      <c r="B6" s="640"/>
      <c r="C6" s="632" t="s">
        <v>262</v>
      </c>
      <c r="D6" s="632"/>
      <c r="E6" s="632"/>
      <c r="F6" s="632"/>
      <c r="G6" s="608" t="s">
        <v>7</v>
      </c>
      <c r="H6" s="609"/>
      <c r="I6" s="609"/>
      <c r="J6" s="609"/>
      <c r="K6" s="609"/>
      <c r="L6" s="609"/>
      <c r="M6" s="609"/>
      <c r="N6" s="610"/>
      <c r="O6" s="613" t="s">
        <v>263</v>
      </c>
      <c r="P6" s="614"/>
      <c r="Q6" s="614"/>
      <c r="R6" s="615"/>
    </row>
    <row r="7" spans="1:18" ht="29.25" customHeight="1">
      <c r="A7" s="641"/>
      <c r="B7" s="642"/>
      <c r="C7" s="632"/>
      <c r="D7" s="632"/>
      <c r="E7" s="632"/>
      <c r="F7" s="632"/>
      <c r="G7" s="608" t="s">
        <v>264</v>
      </c>
      <c r="H7" s="609"/>
      <c r="I7" s="609"/>
      <c r="J7" s="610"/>
      <c r="K7" s="608" t="s">
        <v>92</v>
      </c>
      <c r="L7" s="609"/>
      <c r="M7" s="609"/>
      <c r="N7" s="610"/>
      <c r="O7" s="45" t="s">
        <v>265</v>
      </c>
      <c r="P7" s="45" t="s">
        <v>266</v>
      </c>
      <c r="Q7" s="616" t="s">
        <v>267</v>
      </c>
      <c r="R7" s="616" t="s">
        <v>268</v>
      </c>
    </row>
    <row r="8" spans="1:18" ht="26.25" customHeight="1">
      <c r="A8" s="641"/>
      <c r="B8" s="642"/>
      <c r="C8" s="611" t="s">
        <v>89</v>
      </c>
      <c r="D8" s="638"/>
      <c r="E8" s="611" t="s">
        <v>88</v>
      </c>
      <c r="F8" s="638"/>
      <c r="G8" s="611" t="s">
        <v>90</v>
      </c>
      <c r="H8" s="612"/>
      <c r="I8" s="611" t="s">
        <v>91</v>
      </c>
      <c r="J8" s="612"/>
      <c r="K8" s="611" t="s">
        <v>93</v>
      </c>
      <c r="L8" s="612"/>
      <c r="M8" s="611" t="s">
        <v>94</v>
      </c>
      <c r="N8" s="612"/>
      <c r="O8" s="618" t="s">
        <v>269</v>
      </c>
      <c r="P8" s="619" t="s">
        <v>270</v>
      </c>
      <c r="Q8" s="616"/>
      <c r="R8" s="616"/>
    </row>
    <row r="9" spans="1:18" ht="30.75" customHeight="1">
      <c r="A9" s="641"/>
      <c r="B9" s="642"/>
      <c r="C9" s="46" t="s">
        <v>3</v>
      </c>
      <c r="D9" s="44" t="s">
        <v>9</v>
      </c>
      <c r="E9" s="44" t="s">
        <v>3</v>
      </c>
      <c r="F9" s="44" t="s">
        <v>9</v>
      </c>
      <c r="G9" s="47" t="s">
        <v>3</v>
      </c>
      <c r="H9" s="47" t="s">
        <v>9</v>
      </c>
      <c r="I9" s="47" t="s">
        <v>3</v>
      </c>
      <c r="J9" s="47" t="s">
        <v>9</v>
      </c>
      <c r="K9" s="47" t="s">
        <v>3</v>
      </c>
      <c r="L9" s="47" t="s">
        <v>9</v>
      </c>
      <c r="M9" s="47" t="s">
        <v>3</v>
      </c>
      <c r="N9" s="47" t="s">
        <v>9</v>
      </c>
      <c r="O9" s="618"/>
      <c r="P9" s="620"/>
      <c r="Q9" s="617"/>
      <c r="R9" s="617"/>
    </row>
    <row r="10" spans="1:18" s="52" customFormat="1" ht="18" customHeight="1">
      <c r="A10" s="625" t="s">
        <v>6</v>
      </c>
      <c r="B10" s="625"/>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27" t="s">
        <v>271</v>
      </c>
      <c r="B11" s="62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45" t="s">
        <v>375</v>
      </c>
      <c r="B12" s="64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3" t="s">
        <v>31</v>
      </c>
      <c r="B13" s="64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26" t="s">
        <v>376</v>
      </c>
      <c r="C28" s="626"/>
      <c r="D28" s="626"/>
      <c r="E28" s="626"/>
      <c r="F28" s="75"/>
      <c r="G28" s="76"/>
      <c r="H28" s="76"/>
      <c r="I28" s="76"/>
      <c r="J28" s="626" t="s">
        <v>377</v>
      </c>
      <c r="K28" s="626"/>
      <c r="L28" s="626"/>
      <c r="M28" s="626"/>
      <c r="N28" s="626"/>
      <c r="O28" s="77"/>
      <c r="P28" s="77"/>
      <c r="AG28" s="78" t="s">
        <v>292</v>
      </c>
      <c r="AI28" s="79">
        <f>82/88</f>
        <v>0.9318181818181818</v>
      </c>
    </row>
    <row r="29" spans="1:16" s="85" customFormat="1" ht="19.5" customHeight="1">
      <c r="A29" s="80"/>
      <c r="B29" s="605" t="s">
        <v>35</v>
      </c>
      <c r="C29" s="605"/>
      <c r="D29" s="605"/>
      <c r="E29" s="605"/>
      <c r="F29" s="82"/>
      <c r="G29" s="83"/>
      <c r="H29" s="83"/>
      <c r="I29" s="83"/>
      <c r="J29" s="605" t="s">
        <v>293</v>
      </c>
      <c r="K29" s="605"/>
      <c r="L29" s="605"/>
      <c r="M29" s="605"/>
      <c r="N29" s="605"/>
      <c r="O29" s="84"/>
      <c r="P29" s="84"/>
    </row>
    <row r="30" spans="1:16" s="85" customFormat="1" ht="19.5" customHeight="1">
      <c r="A30" s="80"/>
      <c r="B30" s="623"/>
      <c r="C30" s="623"/>
      <c r="D30" s="623"/>
      <c r="E30" s="82"/>
      <c r="F30" s="82"/>
      <c r="G30" s="83"/>
      <c r="H30" s="83"/>
      <c r="I30" s="83"/>
      <c r="J30" s="624"/>
      <c r="K30" s="624"/>
      <c r="L30" s="624"/>
      <c r="M30" s="624"/>
      <c r="N30" s="624"/>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07" t="s">
        <v>294</v>
      </c>
      <c r="C32" s="607"/>
      <c r="D32" s="607"/>
      <c r="E32" s="607"/>
      <c r="F32" s="87"/>
      <c r="G32" s="88"/>
      <c r="H32" s="88"/>
      <c r="I32" s="88"/>
      <c r="J32" s="606" t="s">
        <v>294</v>
      </c>
      <c r="K32" s="606"/>
      <c r="L32" s="606"/>
      <c r="M32" s="606"/>
      <c r="N32" s="606"/>
      <c r="O32" s="84"/>
      <c r="P32" s="84"/>
    </row>
    <row r="33" spans="1:16" s="85" customFormat="1" ht="19.5" customHeight="1">
      <c r="A33" s="80"/>
      <c r="B33" s="605" t="s">
        <v>295</v>
      </c>
      <c r="C33" s="605"/>
      <c r="D33" s="605"/>
      <c r="E33" s="605"/>
      <c r="F33" s="82"/>
      <c r="G33" s="83"/>
      <c r="H33" s="83"/>
      <c r="I33" s="83"/>
      <c r="J33" s="81"/>
      <c r="K33" s="605" t="s">
        <v>295</v>
      </c>
      <c r="L33" s="605"/>
      <c r="M33" s="605"/>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36" t="s">
        <v>248</v>
      </c>
      <c r="C36" s="636"/>
      <c r="D36" s="636"/>
      <c r="E36" s="636"/>
      <c r="F36" s="91"/>
      <c r="G36" s="91"/>
      <c r="H36" s="91"/>
      <c r="I36" s="91"/>
      <c r="J36" s="637" t="s">
        <v>249</v>
      </c>
      <c r="K36" s="637"/>
      <c r="L36" s="637"/>
      <c r="M36" s="637"/>
      <c r="N36" s="63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47" t="s">
        <v>26</v>
      </c>
      <c r="B1" s="647"/>
      <c r="C1" s="98"/>
      <c r="D1" s="654" t="s">
        <v>355</v>
      </c>
      <c r="E1" s="654"/>
      <c r="F1" s="654"/>
      <c r="G1" s="654"/>
      <c r="H1" s="654"/>
      <c r="I1" s="654"/>
      <c r="J1" s="654"/>
      <c r="K1" s="654"/>
      <c r="L1" s="654"/>
      <c r="M1" s="672" t="s">
        <v>296</v>
      </c>
      <c r="N1" s="673"/>
      <c r="O1" s="673"/>
      <c r="P1" s="673"/>
    </row>
    <row r="2" spans="1:16" s="42" customFormat="1" ht="34.5" customHeight="1">
      <c r="A2" s="653" t="s">
        <v>297</v>
      </c>
      <c r="B2" s="653"/>
      <c r="C2" s="653"/>
      <c r="D2" s="654"/>
      <c r="E2" s="654"/>
      <c r="F2" s="654"/>
      <c r="G2" s="654"/>
      <c r="H2" s="654"/>
      <c r="I2" s="654"/>
      <c r="J2" s="654"/>
      <c r="K2" s="654"/>
      <c r="L2" s="654"/>
      <c r="M2" s="674" t="s">
        <v>356</v>
      </c>
      <c r="N2" s="675"/>
      <c r="O2" s="675"/>
      <c r="P2" s="675"/>
    </row>
    <row r="3" spans="1:16" s="42" customFormat="1" ht="19.5" customHeight="1">
      <c r="A3" s="652" t="s">
        <v>298</v>
      </c>
      <c r="B3" s="652"/>
      <c r="C3" s="652"/>
      <c r="D3" s="654"/>
      <c r="E3" s="654"/>
      <c r="F3" s="654"/>
      <c r="G3" s="654"/>
      <c r="H3" s="654"/>
      <c r="I3" s="654"/>
      <c r="J3" s="654"/>
      <c r="K3" s="654"/>
      <c r="L3" s="654"/>
      <c r="M3" s="674" t="s">
        <v>299</v>
      </c>
      <c r="N3" s="675"/>
      <c r="O3" s="675"/>
      <c r="P3" s="675"/>
    </row>
    <row r="4" spans="1:16" s="103" customFormat="1" ht="18.75" customHeight="1">
      <c r="A4" s="99"/>
      <c r="B4" s="99"/>
      <c r="C4" s="100"/>
      <c r="D4" s="631"/>
      <c r="E4" s="631"/>
      <c r="F4" s="631"/>
      <c r="G4" s="631"/>
      <c r="H4" s="631"/>
      <c r="I4" s="631"/>
      <c r="J4" s="631"/>
      <c r="K4" s="631"/>
      <c r="L4" s="631"/>
      <c r="M4" s="101" t="s">
        <v>300</v>
      </c>
      <c r="N4" s="102"/>
      <c r="O4" s="102"/>
      <c r="P4" s="102"/>
    </row>
    <row r="5" spans="1:16" ht="49.5" customHeight="1">
      <c r="A5" s="661" t="s">
        <v>57</v>
      </c>
      <c r="B5" s="662"/>
      <c r="C5" s="649" t="s">
        <v>82</v>
      </c>
      <c r="D5" s="650"/>
      <c r="E5" s="650"/>
      <c r="F5" s="650"/>
      <c r="G5" s="650"/>
      <c r="H5" s="650"/>
      <c r="I5" s="650"/>
      <c r="J5" s="650"/>
      <c r="K5" s="648" t="s">
        <v>81</v>
      </c>
      <c r="L5" s="648"/>
      <c r="M5" s="648"/>
      <c r="N5" s="648"/>
      <c r="O5" s="648"/>
      <c r="P5" s="648"/>
    </row>
    <row r="6" spans="1:16" ht="20.25" customHeight="1">
      <c r="A6" s="663"/>
      <c r="B6" s="664"/>
      <c r="C6" s="649" t="s">
        <v>3</v>
      </c>
      <c r="D6" s="650"/>
      <c r="E6" s="650"/>
      <c r="F6" s="651"/>
      <c r="G6" s="648" t="s">
        <v>9</v>
      </c>
      <c r="H6" s="648"/>
      <c r="I6" s="648"/>
      <c r="J6" s="648"/>
      <c r="K6" s="676" t="s">
        <v>3</v>
      </c>
      <c r="L6" s="676"/>
      <c r="M6" s="676"/>
      <c r="N6" s="669" t="s">
        <v>9</v>
      </c>
      <c r="O6" s="669"/>
      <c r="P6" s="669"/>
    </row>
    <row r="7" spans="1:16" ht="52.5" customHeight="1">
      <c r="A7" s="663"/>
      <c r="B7" s="664"/>
      <c r="C7" s="667" t="s">
        <v>301</v>
      </c>
      <c r="D7" s="650" t="s">
        <v>78</v>
      </c>
      <c r="E7" s="650"/>
      <c r="F7" s="651"/>
      <c r="G7" s="648" t="s">
        <v>302</v>
      </c>
      <c r="H7" s="648" t="s">
        <v>78</v>
      </c>
      <c r="I7" s="648"/>
      <c r="J7" s="648"/>
      <c r="K7" s="648" t="s">
        <v>32</v>
      </c>
      <c r="L7" s="648" t="s">
        <v>79</v>
      </c>
      <c r="M7" s="648"/>
      <c r="N7" s="648" t="s">
        <v>64</v>
      </c>
      <c r="O7" s="648" t="s">
        <v>79</v>
      </c>
      <c r="P7" s="648"/>
    </row>
    <row r="8" spans="1:16" ht="15.75" customHeight="1">
      <c r="A8" s="663"/>
      <c r="B8" s="664"/>
      <c r="C8" s="667"/>
      <c r="D8" s="648" t="s">
        <v>36</v>
      </c>
      <c r="E8" s="648" t="s">
        <v>37</v>
      </c>
      <c r="F8" s="648" t="s">
        <v>40</v>
      </c>
      <c r="G8" s="648"/>
      <c r="H8" s="648" t="s">
        <v>36</v>
      </c>
      <c r="I8" s="648" t="s">
        <v>37</v>
      </c>
      <c r="J8" s="648" t="s">
        <v>40</v>
      </c>
      <c r="K8" s="648"/>
      <c r="L8" s="648" t="s">
        <v>14</v>
      </c>
      <c r="M8" s="648" t="s">
        <v>13</v>
      </c>
      <c r="N8" s="648"/>
      <c r="O8" s="648" t="s">
        <v>14</v>
      </c>
      <c r="P8" s="648" t="s">
        <v>13</v>
      </c>
    </row>
    <row r="9" spans="1:16" ht="44.25" customHeight="1">
      <c r="A9" s="665"/>
      <c r="B9" s="666"/>
      <c r="C9" s="668"/>
      <c r="D9" s="648"/>
      <c r="E9" s="648"/>
      <c r="F9" s="648"/>
      <c r="G9" s="648"/>
      <c r="H9" s="648"/>
      <c r="I9" s="648"/>
      <c r="J9" s="648"/>
      <c r="K9" s="648"/>
      <c r="L9" s="648"/>
      <c r="M9" s="648"/>
      <c r="N9" s="648"/>
      <c r="O9" s="648"/>
      <c r="P9" s="648"/>
    </row>
    <row r="10" spans="1:16" ht="15" customHeight="1">
      <c r="A10" s="659" t="s">
        <v>6</v>
      </c>
      <c r="B10" s="660"/>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70" t="s">
        <v>303</v>
      </c>
      <c r="B11" s="67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55" t="s">
        <v>304</v>
      </c>
      <c r="B12" s="65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7" t="s">
        <v>33</v>
      </c>
      <c r="B13" s="65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2" t="s">
        <v>357</v>
      </c>
      <c r="C28" s="683"/>
      <c r="D28" s="683"/>
      <c r="E28" s="683"/>
      <c r="F28" s="123"/>
      <c r="G28" s="123"/>
      <c r="H28" s="123"/>
      <c r="I28" s="123"/>
      <c r="J28" s="123"/>
      <c r="K28" s="677" t="s">
        <v>358</v>
      </c>
      <c r="L28" s="677"/>
      <c r="M28" s="677"/>
      <c r="N28" s="677"/>
      <c r="O28" s="677"/>
      <c r="P28" s="677"/>
      <c r="AG28" s="73" t="s">
        <v>292</v>
      </c>
      <c r="AI28" s="113">
        <f>82/88</f>
        <v>0.9318181818181818</v>
      </c>
    </row>
    <row r="29" spans="2:16" ht="16.5">
      <c r="B29" s="683"/>
      <c r="C29" s="683"/>
      <c r="D29" s="683"/>
      <c r="E29" s="683"/>
      <c r="F29" s="123"/>
      <c r="G29" s="123"/>
      <c r="H29" s="123"/>
      <c r="I29" s="123"/>
      <c r="J29" s="123"/>
      <c r="K29" s="677"/>
      <c r="L29" s="677"/>
      <c r="M29" s="677"/>
      <c r="N29" s="677"/>
      <c r="O29" s="677"/>
      <c r="P29" s="677"/>
    </row>
    <row r="30" spans="2:16" ht="21" customHeight="1">
      <c r="B30" s="683"/>
      <c r="C30" s="683"/>
      <c r="D30" s="683"/>
      <c r="E30" s="683"/>
      <c r="F30" s="123"/>
      <c r="G30" s="123"/>
      <c r="H30" s="123"/>
      <c r="I30" s="123"/>
      <c r="J30" s="123"/>
      <c r="K30" s="677"/>
      <c r="L30" s="677"/>
      <c r="M30" s="677"/>
      <c r="N30" s="677"/>
      <c r="O30" s="677"/>
      <c r="P30" s="677"/>
    </row>
    <row r="32" spans="2:16" ht="16.5" customHeight="1">
      <c r="B32" s="685" t="s">
        <v>295</v>
      </c>
      <c r="C32" s="685"/>
      <c r="D32" s="685"/>
      <c r="E32" s="124"/>
      <c r="F32" s="124"/>
      <c r="G32" s="124"/>
      <c r="H32" s="124"/>
      <c r="I32" s="124"/>
      <c r="J32" s="124"/>
      <c r="K32" s="684" t="s">
        <v>359</v>
      </c>
      <c r="L32" s="684"/>
      <c r="M32" s="684"/>
      <c r="N32" s="684"/>
      <c r="O32" s="684"/>
      <c r="P32" s="684"/>
    </row>
    <row r="33" ht="12.75" customHeight="1"/>
    <row r="34" spans="2:5" ht="15.75">
      <c r="B34" s="125"/>
      <c r="C34" s="125"/>
      <c r="D34" s="125"/>
      <c r="E34" s="125"/>
    </row>
    <row r="35" ht="15.75" hidden="1"/>
    <row r="36" spans="2:16" ht="15.75">
      <c r="B36" s="680" t="s">
        <v>248</v>
      </c>
      <c r="C36" s="680"/>
      <c r="D36" s="680"/>
      <c r="E36" s="680"/>
      <c r="F36" s="126"/>
      <c r="G36" s="126"/>
      <c r="H36" s="126"/>
      <c r="I36" s="126"/>
      <c r="K36" s="681" t="s">
        <v>249</v>
      </c>
      <c r="L36" s="681"/>
      <c r="M36" s="681"/>
      <c r="N36" s="681"/>
      <c r="O36" s="681"/>
      <c r="P36" s="681"/>
    </row>
    <row r="39" ht="15.75">
      <c r="A39" s="128" t="s">
        <v>41</v>
      </c>
    </row>
    <row r="40" spans="1:6" ht="15.75">
      <c r="A40" s="129"/>
      <c r="B40" s="130" t="s">
        <v>50</v>
      </c>
      <c r="C40" s="130"/>
      <c r="D40" s="130"/>
      <c r="E40" s="130"/>
      <c r="F40" s="130"/>
    </row>
    <row r="41" spans="1:14" ht="15.75" customHeight="1">
      <c r="A41" s="131" t="s">
        <v>25</v>
      </c>
      <c r="B41" s="679" t="s">
        <v>53</v>
      </c>
      <c r="C41" s="679"/>
      <c r="D41" s="679"/>
      <c r="E41" s="679"/>
      <c r="F41" s="679"/>
      <c r="G41" s="131"/>
      <c r="H41" s="131"/>
      <c r="I41" s="131"/>
      <c r="J41" s="131"/>
      <c r="K41" s="131"/>
      <c r="L41" s="131"/>
      <c r="M41" s="131"/>
      <c r="N41" s="131"/>
    </row>
    <row r="42" spans="1:14" ht="15" customHeight="1">
      <c r="A42" s="131"/>
      <c r="B42" s="678" t="s">
        <v>54</v>
      </c>
      <c r="C42" s="678"/>
      <c r="D42" s="678"/>
      <c r="E42" s="678"/>
      <c r="F42" s="678"/>
      <c r="G42" s="678"/>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35" t="s">
        <v>99</v>
      </c>
      <c r="B1" s="635"/>
      <c r="C1" s="635"/>
      <c r="D1" s="689" t="s">
        <v>360</v>
      </c>
      <c r="E1" s="689"/>
      <c r="F1" s="689"/>
      <c r="G1" s="689"/>
      <c r="H1" s="689"/>
      <c r="I1" s="689"/>
      <c r="J1" s="698" t="s">
        <v>361</v>
      </c>
      <c r="K1" s="699"/>
      <c r="L1" s="699"/>
    </row>
    <row r="2" spans="1:13" ht="15.75" customHeight="1">
      <c r="A2" s="700" t="s">
        <v>306</v>
      </c>
      <c r="B2" s="700"/>
      <c r="C2" s="700"/>
      <c r="D2" s="689"/>
      <c r="E2" s="689"/>
      <c r="F2" s="689"/>
      <c r="G2" s="689"/>
      <c r="H2" s="689"/>
      <c r="I2" s="689"/>
      <c r="J2" s="699" t="s">
        <v>307</v>
      </c>
      <c r="K2" s="699"/>
      <c r="L2" s="699"/>
      <c r="M2" s="133"/>
    </row>
    <row r="3" spans="1:13" ht="15.75" customHeight="1">
      <c r="A3" s="621" t="s">
        <v>258</v>
      </c>
      <c r="B3" s="621"/>
      <c r="C3" s="621"/>
      <c r="D3" s="689"/>
      <c r="E3" s="689"/>
      <c r="F3" s="689"/>
      <c r="G3" s="689"/>
      <c r="H3" s="689"/>
      <c r="I3" s="689"/>
      <c r="J3" s="698" t="s">
        <v>362</v>
      </c>
      <c r="K3" s="698"/>
      <c r="L3" s="698"/>
      <c r="M3" s="37"/>
    </row>
    <row r="4" spans="1:13" ht="15.75" customHeight="1">
      <c r="A4" s="696" t="s">
        <v>260</v>
      </c>
      <c r="B4" s="696"/>
      <c r="C4" s="696"/>
      <c r="D4" s="691"/>
      <c r="E4" s="691"/>
      <c r="F4" s="691"/>
      <c r="G4" s="691"/>
      <c r="H4" s="691"/>
      <c r="I4" s="691"/>
      <c r="J4" s="699" t="s">
        <v>308</v>
      </c>
      <c r="K4" s="699"/>
      <c r="L4" s="699"/>
      <c r="M4" s="133"/>
    </row>
    <row r="5" spans="1:13" ht="15.75">
      <c r="A5" s="134"/>
      <c r="B5" s="134"/>
      <c r="C5" s="34"/>
      <c r="D5" s="34"/>
      <c r="E5" s="34"/>
      <c r="F5" s="34"/>
      <c r="G5" s="34"/>
      <c r="H5" s="34"/>
      <c r="I5" s="34"/>
      <c r="J5" s="690" t="s">
        <v>8</v>
      </c>
      <c r="K5" s="690"/>
      <c r="L5" s="690"/>
      <c r="M5" s="133"/>
    </row>
    <row r="6" spans="1:14" ht="15.75">
      <c r="A6" s="703" t="s">
        <v>57</v>
      </c>
      <c r="B6" s="704"/>
      <c r="C6" s="648" t="s">
        <v>309</v>
      </c>
      <c r="D6" s="688" t="s">
        <v>310</v>
      </c>
      <c r="E6" s="688"/>
      <c r="F6" s="688"/>
      <c r="G6" s="688"/>
      <c r="H6" s="688"/>
      <c r="I6" s="688"/>
      <c r="J6" s="632" t="s">
        <v>97</v>
      </c>
      <c r="K6" s="632"/>
      <c r="L6" s="632"/>
      <c r="M6" s="686" t="s">
        <v>311</v>
      </c>
      <c r="N6" s="687" t="s">
        <v>312</v>
      </c>
    </row>
    <row r="7" spans="1:14" ht="15.75" customHeight="1">
      <c r="A7" s="705"/>
      <c r="B7" s="706"/>
      <c r="C7" s="648"/>
      <c r="D7" s="688" t="s">
        <v>7</v>
      </c>
      <c r="E7" s="688"/>
      <c r="F7" s="688"/>
      <c r="G7" s="688"/>
      <c r="H7" s="688"/>
      <c r="I7" s="688"/>
      <c r="J7" s="632"/>
      <c r="K7" s="632"/>
      <c r="L7" s="632"/>
      <c r="M7" s="686"/>
      <c r="N7" s="687"/>
    </row>
    <row r="8" spans="1:14" s="73" customFormat="1" ht="31.5" customHeight="1">
      <c r="A8" s="705"/>
      <c r="B8" s="706"/>
      <c r="C8" s="648"/>
      <c r="D8" s="632" t="s">
        <v>95</v>
      </c>
      <c r="E8" s="632" t="s">
        <v>96</v>
      </c>
      <c r="F8" s="632"/>
      <c r="G8" s="632"/>
      <c r="H8" s="632"/>
      <c r="I8" s="632"/>
      <c r="J8" s="632"/>
      <c r="K8" s="632"/>
      <c r="L8" s="632"/>
      <c r="M8" s="686"/>
      <c r="N8" s="687"/>
    </row>
    <row r="9" spans="1:14" s="73" customFormat="1" ht="15.75" customHeight="1">
      <c r="A9" s="705"/>
      <c r="B9" s="706"/>
      <c r="C9" s="648"/>
      <c r="D9" s="632"/>
      <c r="E9" s="632" t="s">
        <v>98</v>
      </c>
      <c r="F9" s="632" t="s">
        <v>7</v>
      </c>
      <c r="G9" s="632"/>
      <c r="H9" s="632"/>
      <c r="I9" s="632"/>
      <c r="J9" s="632" t="s">
        <v>7</v>
      </c>
      <c r="K9" s="632"/>
      <c r="L9" s="632"/>
      <c r="M9" s="686"/>
      <c r="N9" s="687"/>
    </row>
    <row r="10" spans="1:14" s="73" customFormat="1" ht="86.25" customHeight="1">
      <c r="A10" s="707"/>
      <c r="B10" s="708"/>
      <c r="C10" s="648"/>
      <c r="D10" s="632"/>
      <c r="E10" s="632"/>
      <c r="F10" s="104" t="s">
        <v>22</v>
      </c>
      <c r="G10" s="104" t="s">
        <v>24</v>
      </c>
      <c r="H10" s="104" t="s">
        <v>16</v>
      </c>
      <c r="I10" s="104" t="s">
        <v>23</v>
      </c>
      <c r="J10" s="104" t="s">
        <v>15</v>
      </c>
      <c r="K10" s="104" t="s">
        <v>20</v>
      </c>
      <c r="L10" s="104" t="s">
        <v>21</v>
      </c>
      <c r="M10" s="686"/>
      <c r="N10" s="687"/>
    </row>
    <row r="11" spans="1:32" ht="13.5" customHeight="1">
      <c r="A11" s="713" t="s">
        <v>5</v>
      </c>
      <c r="B11" s="714"/>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94" t="s">
        <v>303</v>
      </c>
      <c r="B12" s="69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2" t="s">
        <v>259</v>
      </c>
      <c r="B13" s="693"/>
      <c r="C13" s="139">
        <v>59</v>
      </c>
      <c r="D13" s="139">
        <v>43</v>
      </c>
      <c r="E13" s="139">
        <v>0</v>
      </c>
      <c r="F13" s="139">
        <v>5</v>
      </c>
      <c r="G13" s="139">
        <v>2</v>
      </c>
      <c r="H13" s="139">
        <v>7</v>
      </c>
      <c r="I13" s="139">
        <v>2</v>
      </c>
      <c r="J13" s="139">
        <v>10</v>
      </c>
      <c r="K13" s="139">
        <v>44</v>
      </c>
      <c r="L13" s="139">
        <v>5</v>
      </c>
      <c r="M13" s="136"/>
      <c r="N13" s="137"/>
    </row>
    <row r="14" spans="1:37" s="52" customFormat="1" ht="16.5" customHeight="1">
      <c r="A14" s="711" t="s">
        <v>30</v>
      </c>
      <c r="B14" s="71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26" t="s">
        <v>363</v>
      </c>
      <c r="B29" s="715"/>
      <c r="C29" s="715"/>
      <c r="D29" s="715"/>
      <c r="E29" s="158"/>
      <c r="F29" s="158"/>
      <c r="G29" s="158"/>
      <c r="H29" s="701" t="s">
        <v>313</v>
      </c>
      <c r="I29" s="701"/>
      <c r="J29" s="701"/>
      <c r="K29" s="701"/>
      <c r="L29" s="701"/>
      <c r="M29" s="159"/>
    </row>
    <row r="30" spans="1:12" ht="18.75">
      <c r="A30" s="715"/>
      <c r="B30" s="715"/>
      <c r="C30" s="715"/>
      <c r="D30" s="715"/>
      <c r="E30" s="158"/>
      <c r="F30" s="158"/>
      <c r="G30" s="158"/>
      <c r="H30" s="702" t="s">
        <v>314</v>
      </c>
      <c r="I30" s="702"/>
      <c r="J30" s="702"/>
      <c r="K30" s="702"/>
      <c r="L30" s="702"/>
    </row>
    <row r="31" spans="1:12" s="32" customFormat="1" ht="16.5" customHeight="1">
      <c r="A31" s="623"/>
      <c r="B31" s="623"/>
      <c r="C31" s="623"/>
      <c r="D31" s="623"/>
      <c r="E31" s="160"/>
      <c r="F31" s="160"/>
      <c r="G31" s="160"/>
      <c r="H31" s="624"/>
      <c r="I31" s="624"/>
      <c r="J31" s="624"/>
      <c r="K31" s="624"/>
      <c r="L31" s="624"/>
    </row>
    <row r="32" spans="1:12" ht="18.75">
      <c r="A32" s="89"/>
      <c r="B32" s="623" t="s">
        <v>295</v>
      </c>
      <c r="C32" s="623"/>
      <c r="D32" s="623"/>
      <c r="E32" s="160"/>
      <c r="F32" s="160"/>
      <c r="G32" s="160"/>
      <c r="H32" s="160"/>
      <c r="I32" s="697" t="s">
        <v>295</v>
      </c>
      <c r="J32" s="697"/>
      <c r="K32" s="69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36" t="s">
        <v>248</v>
      </c>
      <c r="B37" s="636"/>
      <c r="C37" s="636"/>
      <c r="D37" s="636"/>
      <c r="E37" s="91"/>
      <c r="F37" s="91"/>
      <c r="G37" s="91"/>
      <c r="H37" s="637" t="s">
        <v>248</v>
      </c>
      <c r="I37" s="637"/>
      <c r="J37" s="637"/>
      <c r="K37" s="637"/>
      <c r="L37" s="63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0" t="s">
        <v>50</v>
      </c>
      <c r="C40" s="710"/>
      <c r="D40" s="710"/>
      <c r="E40" s="710"/>
      <c r="F40" s="710"/>
      <c r="G40" s="710"/>
      <c r="H40" s="710"/>
      <c r="I40" s="710"/>
      <c r="J40" s="710"/>
      <c r="K40" s="710"/>
      <c r="L40" s="710"/>
    </row>
    <row r="41" spans="1:12" ht="16.5" customHeight="1">
      <c r="A41" s="165"/>
      <c r="B41" s="709" t="s">
        <v>52</v>
      </c>
      <c r="C41" s="709"/>
      <c r="D41" s="709"/>
      <c r="E41" s="709"/>
      <c r="F41" s="709"/>
      <c r="G41" s="709"/>
      <c r="H41" s="709"/>
      <c r="I41" s="709"/>
      <c r="J41" s="709"/>
      <c r="K41" s="709"/>
      <c r="L41" s="709"/>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2" t="s">
        <v>136</v>
      </c>
      <c r="B1" s="732"/>
      <c r="C1" s="732"/>
      <c r="D1" s="727" t="s">
        <v>317</v>
      </c>
      <c r="E1" s="728"/>
      <c r="F1" s="728"/>
      <c r="G1" s="728"/>
      <c r="H1" s="728"/>
      <c r="I1" s="728"/>
      <c r="J1" s="728"/>
      <c r="K1" s="728"/>
      <c r="L1" s="728"/>
      <c r="M1" s="728"/>
      <c r="N1" s="728"/>
      <c r="O1" s="212"/>
      <c r="P1" s="169" t="s">
        <v>367</v>
      </c>
      <c r="Q1" s="168"/>
      <c r="R1" s="168"/>
      <c r="S1" s="168"/>
      <c r="T1" s="168"/>
      <c r="U1" s="212"/>
    </row>
    <row r="2" spans="1:21" ht="16.5" customHeight="1">
      <c r="A2" s="729" t="s">
        <v>318</v>
      </c>
      <c r="B2" s="729"/>
      <c r="C2" s="729"/>
      <c r="D2" s="728"/>
      <c r="E2" s="728"/>
      <c r="F2" s="728"/>
      <c r="G2" s="728"/>
      <c r="H2" s="728"/>
      <c r="I2" s="728"/>
      <c r="J2" s="728"/>
      <c r="K2" s="728"/>
      <c r="L2" s="728"/>
      <c r="M2" s="728"/>
      <c r="N2" s="728"/>
      <c r="O2" s="213"/>
      <c r="P2" s="720" t="s">
        <v>319</v>
      </c>
      <c r="Q2" s="720"/>
      <c r="R2" s="720"/>
      <c r="S2" s="720"/>
      <c r="T2" s="720"/>
      <c r="U2" s="213"/>
    </row>
    <row r="3" spans="1:21" ht="16.5" customHeight="1">
      <c r="A3" s="748" t="s">
        <v>320</v>
      </c>
      <c r="B3" s="748"/>
      <c r="C3" s="748"/>
      <c r="D3" s="733" t="s">
        <v>321</v>
      </c>
      <c r="E3" s="733"/>
      <c r="F3" s="733"/>
      <c r="G3" s="733"/>
      <c r="H3" s="733"/>
      <c r="I3" s="733"/>
      <c r="J3" s="733"/>
      <c r="K3" s="733"/>
      <c r="L3" s="733"/>
      <c r="M3" s="733"/>
      <c r="N3" s="733"/>
      <c r="O3" s="213"/>
      <c r="P3" s="173" t="s">
        <v>366</v>
      </c>
      <c r="Q3" s="213"/>
      <c r="R3" s="213"/>
      <c r="S3" s="213"/>
      <c r="T3" s="213"/>
      <c r="U3" s="213"/>
    </row>
    <row r="4" spans="1:21" ht="16.5" customHeight="1">
      <c r="A4" s="734" t="s">
        <v>260</v>
      </c>
      <c r="B4" s="734"/>
      <c r="C4" s="734"/>
      <c r="D4" s="755"/>
      <c r="E4" s="755"/>
      <c r="F4" s="755"/>
      <c r="G4" s="755"/>
      <c r="H4" s="755"/>
      <c r="I4" s="755"/>
      <c r="J4" s="755"/>
      <c r="K4" s="755"/>
      <c r="L4" s="755"/>
      <c r="M4" s="755"/>
      <c r="N4" s="755"/>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21" t="s">
        <v>57</v>
      </c>
      <c r="B6" s="722"/>
      <c r="C6" s="716" t="s">
        <v>137</v>
      </c>
      <c r="D6" s="730" t="s">
        <v>138</v>
      </c>
      <c r="E6" s="731"/>
      <c r="F6" s="731"/>
      <c r="G6" s="731"/>
      <c r="H6" s="731"/>
      <c r="I6" s="731"/>
      <c r="J6" s="731"/>
      <c r="K6" s="731"/>
      <c r="L6" s="731"/>
      <c r="M6" s="731"/>
      <c r="N6" s="731"/>
      <c r="O6" s="731"/>
      <c r="P6" s="731"/>
      <c r="Q6" s="731"/>
      <c r="R6" s="731"/>
      <c r="S6" s="731"/>
      <c r="T6" s="716" t="s">
        <v>139</v>
      </c>
      <c r="U6" s="216"/>
    </row>
    <row r="7" spans="1:20" s="218" customFormat="1" ht="12.75" customHeight="1">
      <c r="A7" s="723"/>
      <c r="B7" s="724"/>
      <c r="C7" s="716"/>
      <c r="D7" s="752" t="s">
        <v>134</v>
      </c>
      <c r="E7" s="731" t="s">
        <v>7</v>
      </c>
      <c r="F7" s="731"/>
      <c r="G7" s="731"/>
      <c r="H7" s="731"/>
      <c r="I7" s="731"/>
      <c r="J7" s="731"/>
      <c r="K7" s="731"/>
      <c r="L7" s="731"/>
      <c r="M7" s="731"/>
      <c r="N7" s="731"/>
      <c r="O7" s="731"/>
      <c r="P7" s="731"/>
      <c r="Q7" s="731"/>
      <c r="R7" s="731"/>
      <c r="S7" s="731"/>
      <c r="T7" s="716"/>
    </row>
    <row r="8" spans="1:21" s="218" customFormat="1" ht="43.5" customHeight="1">
      <c r="A8" s="723"/>
      <c r="B8" s="724"/>
      <c r="C8" s="716"/>
      <c r="D8" s="753"/>
      <c r="E8" s="719" t="s">
        <v>140</v>
      </c>
      <c r="F8" s="716"/>
      <c r="G8" s="716"/>
      <c r="H8" s="716" t="s">
        <v>141</v>
      </c>
      <c r="I8" s="716"/>
      <c r="J8" s="716"/>
      <c r="K8" s="716" t="s">
        <v>142</v>
      </c>
      <c r="L8" s="716"/>
      <c r="M8" s="716" t="s">
        <v>143</v>
      </c>
      <c r="N8" s="716"/>
      <c r="O8" s="716"/>
      <c r="P8" s="716" t="s">
        <v>144</v>
      </c>
      <c r="Q8" s="716" t="s">
        <v>145</v>
      </c>
      <c r="R8" s="716" t="s">
        <v>146</v>
      </c>
      <c r="S8" s="735" t="s">
        <v>147</v>
      </c>
      <c r="T8" s="716"/>
      <c r="U8" s="745" t="s">
        <v>323</v>
      </c>
    </row>
    <row r="9" spans="1:21" s="218" customFormat="1" ht="44.25" customHeight="1">
      <c r="A9" s="725"/>
      <c r="B9" s="726"/>
      <c r="C9" s="716"/>
      <c r="D9" s="754"/>
      <c r="E9" s="219" t="s">
        <v>148</v>
      </c>
      <c r="F9" s="215" t="s">
        <v>149</v>
      </c>
      <c r="G9" s="215" t="s">
        <v>324</v>
      </c>
      <c r="H9" s="215" t="s">
        <v>150</v>
      </c>
      <c r="I9" s="215" t="s">
        <v>151</v>
      </c>
      <c r="J9" s="215" t="s">
        <v>152</v>
      </c>
      <c r="K9" s="215" t="s">
        <v>149</v>
      </c>
      <c r="L9" s="215" t="s">
        <v>153</v>
      </c>
      <c r="M9" s="215" t="s">
        <v>154</v>
      </c>
      <c r="N9" s="215" t="s">
        <v>155</v>
      </c>
      <c r="O9" s="215" t="s">
        <v>325</v>
      </c>
      <c r="P9" s="716"/>
      <c r="Q9" s="716"/>
      <c r="R9" s="716"/>
      <c r="S9" s="735"/>
      <c r="T9" s="716"/>
      <c r="U9" s="746"/>
    </row>
    <row r="10" spans="1:21" s="222" customFormat="1" ht="15.75" customHeight="1">
      <c r="A10" s="749" t="s">
        <v>6</v>
      </c>
      <c r="B10" s="75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46"/>
    </row>
    <row r="11" spans="1:21" s="222" customFormat="1" ht="15.75" customHeight="1">
      <c r="A11" s="717" t="s">
        <v>303</v>
      </c>
      <c r="B11" s="71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47"/>
    </row>
    <row r="12" spans="1:21" s="222" customFormat="1" ht="15.75" customHeight="1">
      <c r="A12" s="736" t="s">
        <v>304</v>
      </c>
      <c r="B12" s="73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2" t="s">
        <v>30</v>
      </c>
      <c r="B13" s="74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1" t="s">
        <v>291</v>
      </c>
      <c r="C28" s="751"/>
      <c r="D28" s="751"/>
      <c r="E28" s="751"/>
      <c r="F28" s="181"/>
      <c r="G28" s="181"/>
      <c r="H28" s="181"/>
      <c r="I28" s="181"/>
      <c r="J28" s="181"/>
      <c r="K28" s="181" t="s">
        <v>156</v>
      </c>
      <c r="L28" s="182"/>
      <c r="M28" s="756" t="s">
        <v>326</v>
      </c>
      <c r="N28" s="756"/>
      <c r="O28" s="756"/>
      <c r="P28" s="756"/>
      <c r="Q28" s="756"/>
      <c r="R28" s="756"/>
      <c r="S28" s="756"/>
      <c r="T28" s="756"/>
    </row>
    <row r="29" spans="1:20" s="233" customFormat="1" ht="18.75" customHeight="1">
      <c r="A29" s="232"/>
      <c r="B29" s="741" t="s">
        <v>157</v>
      </c>
      <c r="C29" s="741"/>
      <c r="D29" s="741"/>
      <c r="E29" s="234"/>
      <c r="F29" s="183"/>
      <c r="G29" s="183"/>
      <c r="H29" s="183"/>
      <c r="I29" s="183"/>
      <c r="J29" s="183"/>
      <c r="K29" s="183"/>
      <c r="L29" s="182"/>
      <c r="M29" s="744" t="s">
        <v>315</v>
      </c>
      <c r="N29" s="744"/>
      <c r="O29" s="744"/>
      <c r="P29" s="744"/>
      <c r="Q29" s="744"/>
      <c r="R29" s="744"/>
      <c r="S29" s="744"/>
      <c r="T29" s="744"/>
    </row>
    <row r="30" spans="1:20" s="233" customFormat="1" ht="18.75">
      <c r="A30" s="184"/>
      <c r="B30" s="738"/>
      <c r="C30" s="738"/>
      <c r="D30" s="738"/>
      <c r="E30" s="186"/>
      <c r="F30" s="186"/>
      <c r="G30" s="186"/>
      <c r="H30" s="186"/>
      <c r="I30" s="186"/>
      <c r="J30" s="186"/>
      <c r="K30" s="186"/>
      <c r="L30" s="186"/>
      <c r="M30" s="739"/>
      <c r="N30" s="739"/>
      <c r="O30" s="739"/>
      <c r="P30" s="739"/>
      <c r="Q30" s="739"/>
      <c r="R30" s="739"/>
      <c r="S30" s="739"/>
      <c r="T30" s="73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40" t="s">
        <v>295</v>
      </c>
      <c r="C36" s="740"/>
      <c r="D36" s="740"/>
      <c r="E36" s="236"/>
      <c r="F36" s="236"/>
      <c r="G36" s="236"/>
      <c r="H36" s="236"/>
      <c r="I36" s="236"/>
      <c r="J36" s="236"/>
      <c r="K36" s="236"/>
      <c r="L36" s="236"/>
      <c r="M36" s="236"/>
      <c r="N36" s="740" t="s">
        <v>295</v>
      </c>
      <c r="O36" s="740"/>
      <c r="P36" s="740"/>
      <c r="Q36" s="740"/>
      <c r="R36" s="740"/>
      <c r="S36" s="74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36" t="s">
        <v>248</v>
      </c>
      <c r="C38" s="636"/>
      <c r="D38" s="636"/>
      <c r="E38" s="210"/>
      <c r="F38" s="210"/>
      <c r="G38" s="210"/>
      <c r="H38" s="210"/>
      <c r="I38" s="182"/>
      <c r="J38" s="182"/>
      <c r="K38" s="182"/>
      <c r="L38" s="182"/>
      <c r="M38" s="637" t="s">
        <v>249</v>
      </c>
      <c r="N38" s="637"/>
      <c r="O38" s="637"/>
      <c r="P38" s="637"/>
      <c r="Q38" s="637"/>
      <c r="R38" s="637"/>
      <c r="S38" s="637"/>
      <c r="T38" s="63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4" t="s">
        <v>162</v>
      </c>
      <c r="B1" s="774"/>
      <c r="C1" s="774"/>
      <c r="D1" s="238"/>
      <c r="E1" s="763" t="s">
        <v>163</v>
      </c>
      <c r="F1" s="763"/>
      <c r="G1" s="763"/>
      <c r="H1" s="763"/>
      <c r="I1" s="763"/>
      <c r="J1" s="763"/>
      <c r="K1" s="763"/>
      <c r="L1" s="763"/>
      <c r="M1" s="763"/>
      <c r="N1" s="763"/>
      <c r="O1" s="191"/>
      <c r="P1" s="779" t="s">
        <v>365</v>
      </c>
      <c r="Q1" s="779"/>
      <c r="R1" s="779"/>
      <c r="S1" s="779"/>
      <c r="T1" s="779"/>
    </row>
    <row r="2" spans="1:20" ht="15.75" customHeight="1">
      <c r="A2" s="775" t="s">
        <v>327</v>
      </c>
      <c r="B2" s="775"/>
      <c r="C2" s="775"/>
      <c r="D2" s="775"/>
      <c r="E2" s="777" t="s">
        <v>164</v>
      </c>
      <c r="F2" s="777"/>
      <c r="G2" s="777"/>
      <c r="H2" s="777"/>
      <c r="I2" s="777"/>
      <c r="J2" s="777"/>
      <c r="K2" s="777"/>
      <c r="L2" s="777"/>
      <c r="M2" s="777"/>
      <c r="N2" s="777"/>
      <c r="O2" s="194"/>
      <c r="P2" s="761" t="s">
        <v>307</v>
      </c>
      <c r="Q2" s="761"/>
      <c r="R2" s="761"/>
      <c r="S2" s="761"/>
      <c r="T2" s="761"/>
    </row>
    <row r="3" spans="1:20" ht="17.25">
      <c r="A3" s="775" t="s">
        <v>258</v>
      </c>
      <c r="B3" s="775"/>
      <c r="C3" s="775"/>
      <c r="D3" s="239"/>
      <c r="E3" s="764" t="s">
        <v>259</v>
      </c>
      <c r="F3" s="764"/>
      <c r="G3" s="764"/>
      <c r="H3" s="764"/>
      <c r="I3" s="764"/>
      <c r="J3" s="764"/>
      <c r="K3" s="764"/>
      <c r="L3" s="764"/>
      <c r="M3" s="764"/>
      <c r="N3" s="764"/>
      <c r="O3" s="194"/>
      <c r="P3" s="762" t="s">
        <v>366</v>
      </c>
      <c r="Q3" s="762"/>
      <c r="R3" s="762"/>
      <c r="S3" s="762"/>
      <c r="T3" s="762"/>
    </row>
    <row r="4" spans="1:20" ht="18.75" customHeight="1">
      <c r="A4" s="776" t="s">
        <v>260</v>
      </c>
      <c r="B4" s="776"/>
      <c r="C4" s="776"/>
      <c r="D4" s="778"/>
      <c r="E4" s="778"/>
      <c r="F4" s="778"/>
      <c r="G4" s="778"/>
      <c r="H4" s="778"/>
      <c r="I4" s="778"/>
      <c r="J4" s="778"/>
      <c r="K4" s="778"/>
      <c r="L4" s="778"/>
      <c r="M4" s="778"/>
      <c r="N4" s="778"/>
      <c r="O4" s="195"/>
      <c r="P4" s="761" t="s">
        <v>299</v>
      </c>
      <c r="Q4" s="762"/>
      <c r="R4" s="762"/>
      <c r="S4" s="762"/>
      <c r="T4" s="762"/>
    </row>
    <row r="5" spans="1:23" ht="15">
      <c r="A5" s="208"/>
      <c r="B5" s="208"/>
      <c r="C5" s="240"/>
      <c r="D5" s="240"/>
      <c r="E5" s="208"/>
      <c r="F5" s="208"/>
      <c r="G5" s="208"/>
      <c r="H5" s="208"/>
      <c r="I5" s="208"/>
      <c r="J5" s="208"/>
      <c r="K5" s="208"/>
      <c r="L5" s="208"/>
      <c r="P5" s="780" t="s">
        <v>322</v>
      </c>
      <c r="Q5" s="780"/>
      <c r="R5" s="780"/>
      <c r="S5" s="780"/>
      <c r="T5" s="780"/>
      <c r="U5" s="241"/>
      <c r="V5" s="241"/>
      <c r="W5" s="241"/>
    </row>
    <row r="6" spans="1:23" ht="29.25" customHeight="1">
      <c r="A6" s="721" t="s">
        <v>57</v>
      </c>
      <c r="B6" s="797"/>
      <c r="C6" s="792" t="s">
        <v>2</v>
      </c>
      <c r="D6" s="781" t="s">
        <v>165</v>
      </c>
      <c r="E6" s="772"/>
      <c r="F6" s="772"/>
      <c r="G6" s="772"/>
      <c r="H6" s="772"/>
      <c r="I6" s="772"/>
      <c r="J6" s="773"/>
      <c r="K6" s="765" t="s">
        <v>166</v>
      </c>
      <c r="L6" s="766"/>
      <c r="M6" s="766"/>
      <c r="N6" s="766"/>
      <c r="O6" s="766"/>
      <c r="P6" s="766"/>
      <c r="Q6" s="766"/>
      <c r="R6" s="766"/>
      <c r="S6" s="766"/>
      <c r="T6" s="767"/>
      <c r="U6" s="242"/>
      <c r="V6" s="243"/>
      <c r="W6" s="243"/>
    </row>
    <row r="7" spans="1:20" ht="19.5" customHeight="1">
      <c r="A7" s="723"/>
      <c r="B7" s="798"/>
      <c r="C7" s="793"/>
      <c r="D7" s="772" t="s">
        <v>7</v>
      </c>
      <c r="E7" s="772"/>
      <c r="F7" s="772"/>
      <c r="G7" s="772"/>
      <c r="H7" s="772"/>
      <c r="I7" s="772"/>
      <c r="J7" s="773"/>
      <c r="K7" s="768"/>
      <c r="L7" s="769"/>
      <c r="M7" s="769"/>
      <c r="N7" s="769"/>
      <c r="O7" s="769"/>
      <c r="P7" s="769"/>
      <c r="Q7" s="769"/>
      <c r="R7" s="769"/>
      <c r="S7" s="769"/>
      <c r="T7" s="770"/>
    </row>
    <row r="8" spans="1:20" ht="33" customHeight="1">
      <c r="A8" s="723"/>
      <c r="B8" s="798"/>
      <c r="C8" s="793"/>
      <c r="D8" s="771" t="s">
        <v>167</v>
      </c>
      <c r="E8" s="758"/>
      <c r="F8" s="757" t="s">
        <v>168</v>
      </c>
      <c r="G8" s="758"/>
      <c r="H8" s="757" t="s">
        <v>169</v>
      </c>
      <c r="I8" s="758"/>
      <c r="J8" s="757" t="s">
        <v>170</v>
      </c>
      <c r="K8" s="760" t="s">
        <v>171</v>
      </c>
      <c r="L8" s="760"/>
      <c r="M8" s="760"/>
      <c r="N8" s="760" t="s">
        <v>172</v>
      </c>
      <c r="O8" s="760"/>
      <c r="P8" s="760"/>
      <c r="Q8" s="757" t="s">
        <v>173</v>
      </c>
      <c r="R8" s="759" t="s">
        <v>174</v>
      </c>
      <c r="S8" s="759" t="s">
        <v>175</v>
      </c>
      <c r="T8" s="757" t="s">
        <v>176</v>
      </c>
    </row>
    <row r="9" spans="1:20" ht="18.75" customHeight="1">
      <c r="A9" s="723"/>
      <c r="B9" s="798"/>
      <c r="C9" s="793"/>
      <c r="D9" s="771" t="s">
        <v>177</v>
      </c>
      <c r="E9" s="757" t="s">
        <v>178</v>
      </c>
      <c r="F9" s="757" t="s">
        <v>177</v>
      </c>
      <c r="G9" s="757" t="s">
        <v>178</v>
      </c>
      <c r="H9" s="757" t="s">
        <v>177</v>
      </c>
      <c r="I9" s="757" t="s">
        <v>179</v>
      </c>
      <c r="J9" s="757"/>
      <c r="K9" s="760"/>
      <c r="L9" s="760"/>
      <c r="M9" s="760"/>
      <c r="N9" s="760"/>
      <c r="O9" s="760"/>
      <c r="P9" s="760"/>
      <c r="Q9" s="757"/>
      <c r="R9" s="759"/>
      <c r="S9" s="759"/>
      <c r="T9" s="757"/>
    </row>
    <row r="10" spans="1:20" ht="23.25" customHeight="1">
      <c r="A10" s="725"/>
      <c r="B10" s="799"/>
      <c r="C10" s="794"/>
      <c r="D10" s="771"/>
      <c r="E10" s="757"/>
      <c r="F10" s="757"/>
      <c r="G10" s="757"/>
      <c r="H10" s="757"/>
      <c r="I10" s="757"/>
      <c r="J10" s="757"/>
      <c r="K10" s="244" t="s">
        <v>180</v>
      </c>
      <c r="L10" s="244" t="s">
        <v>155</v>
      </c>
      <c r="M10" s="244" t="s">
        <v>181</v>
      </c>
      <c r="N10" s="244" t="s">
        <v>180</v>
      </c>
      <c r="O10" s="244" t="s">
        <v>182</v>
      </c>
      <c r="P10" s="244" t="s">
        <v>183</v>
      </c>
      <c r="Q10" s="757"/>
      <c r="R10" s="759"/>
      <c r="S10" s="759"/>
      <c r="T10" s="757"/>
    </row>
    <row r="11" spans="1:32" s="201" customFormat="1" ht="17.25" customHeight="1">
      <c r="A11" s="795" t="s">
        <v>6</v>
      </c>
      <c r="B11" s="79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5" t="s">
        <v>328</v>
      </c>
      <c r="B12" s="786"/>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8" t="s">
        <v>304</v>
      </c>
      <c r="B13" s="789"/>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1" t="s">
        <v>184</v>
      </c>
      <c r="B14" s="77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83" t="s">
        <v>316</v>
      </c>
      <c r="C29" s="783"/>
      <c r="D29" s="783"/>
      <c r="E29" s="783"/>
      <c r="F29" s="258"/>
      <c r="G29" s="258"/>
      <c r="H29" s="258"/>
      <c r="I29" s="258"/>
      <c r="J29" s="258"/>
      <c r="K29" s="258"/>
      <c r="L29" s="206"/>
      <c r="M29" s="782" t="s">
        <v>329</v>
      </c>
      <c r="N29" s="782"/>
      <c r="O29" s="782"/>
      <c r="P29" s="782"/>
      <c r="Q29" s="782"/>
      <c r="R29" s="782"/>
      <c r="S29" s="782"/>
      <c r="T29" s="782"/>
    </row>
    <row r="30" spans="1:20" ht="18.75" customHeight="1">
      <c r="A30" s="202"/>
      <c r="B30" s="784" t="s">
        <v>157</v>
      </c>
      <c r="C30" s="784"/>
      <c r="D30" s="784"/>
      <c r="E30" s="784"/>
      <c r="F30" s="205"/>
      <c r="G30" s="205"/>
      <c r="H30" s="205"/>
      <c r="I30" s="205"/>
      <c r="J30" s="205"/>
      <c r="K30" s="205"/>
      <c r="L30" s="206"/>
      <c r="M30" s="787" t="s">
        <v>158</v>
      </c>
      <c r="N30" s="787"/>
      <c r="O30" s="787"/>
      <c r="P30" s="787"/>
      <c r="Q30" s="787"/>
      <c r="R30" s="787"/>
      <c r="S30" s="787"/>
      <c r="T30" s="787"/>
    </row>
    <row r="31" spans="1:20" ht="18.75">
      <c r="A31" s="208"/>
      <c r="B31" s="738"/>
      <c r="C31" s="738"/>
      <c r="D31" s="738"/>
      <c r="E31" s="738"/>
      <c r="F31" s="209"/>
      <c r="G31" s="209"/>
      <c r="H31" s="209"/>
      <c r="I31" s="209"/>
      <c r="J31" s="209"/>
      <c r="K31" s="209"/>
      <c r="L31" s="209"/>
      <c r="M31" s="739"/>
      <c r="N31" s="739"/>
      <c r="O31" s="739"/>
      <c r="P31" s="739"/>
      <c r="Q31" s="739"/>
      <c r="R31" s="739"/>
      <c r="S31" s="739"/>
      <c r="T31" s="73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0" t="s">
        <v>295</v>
      </c>
      <c r="C33" s="790"/>
      <c r="D33" s="790"/>
      <c r="E33" s="790"/>
      <c r="F33" s="790"/>
      <c r="G33" s="259"/>
      <c r="H33" s="259"/>
      <c r="I33" s="259"/>
      <c r="J33" s="259"/>
      <c r="K33" s="259"/>
      <c r="L33" s="259"/>
      <c r="M33" s="259"/>
      <c r="N33" s="790" t="s">
        <v>295</v>
      </c>
      <c r="O33" s="790"/>
      <c r="P33" s="790"/>
      <c r="Q33" s="790"/>
      <c r="R33" s="790"/>
      <c r="S33" s="790"/>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36" t="s">
        <v>248</v>
      </c>
      <c r="C35" s="636"/>
      <c r="D35" s="636"/>
      <c r="E35" s="636"/>
      <c r="F35" s="210"/>
      <c r="G35" s="210"/>
      <c r="H35" s="210"/>
      <c r="I35" s="182"/>
      <c r="J35" s="182"/>
      <c r="K35" s="182"/>
      <c r="L35" s="182"/>
      <c r="M35" s="637" t="s">
        <v>249</v>
      </c>
      <c r="N35" s="637"/>
      <c r="O35" s="637"/>
      <c r="P35" s="637"/>
      <c r="Q35" s="637"/>
      <c r="R35" s="637"/>
      <c r="S35" s="637"/>
      <c r="T35" s="63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06" t="s">
        <v>187</v>
      </c>
      <c r="B1" s="806"/>
      <c r="C1" s="806"/>
      <c r="D1" s="809" t="s">
        <v>368</v>
      </c>
      <c r="E1" s="809"/>
      <c r="F1" s="809"/>
      <c r="G1" s="809"/>
      <c r="H1" s="809"/>
      <c r="I1" s="809"/>
      <c r="J1" s="810" t="s">
        <v>369</v>
      </c>
      <c r="K1" s="811"/>
      <c r="L1" s="811"/>
    </row>
    <row r="2" spans="1:12" ht="34.5" customHeight="1">
      <c r="A2" s="812" t="s">
        <v>330</v>
      </c>
      <c r="B2" s="812"/>
      <c r="C2" s="812"/>
      <c r="D2" s="809"/>
      <c r="E2" s="809"/>
      <c r="F2" s="809"/>
      <c r="G2" s="809"/>
      <c r="H2" s="809"/>
      <c r="I2" s="809"/>
      <c r="J2" s="813" t="s">
        <v>370</v>
      </c>
      <c r="K2" s="814"/>
      <c r="L2" s="814"/>
    </row>
    <row r="3" spans="1:12" ht="15" customHeight="1">
      <c r="A3" s="265" t="s">
        <v>260</v>
      </c>
      <c r="B3" s="174"/>
      <c r="C3" s="815"/>
      <c r="D3" s="815"/>
      <c r="E3" s="815"/>
      <c r="F3" s="815"/>
      <c r="G3" s="815"/>
      <c r="H3" s="815"/>
      <c r="I3" s="815"/>
      <c r="J3" s="807"/>
      <c r="K3" s="808"/>
      <c r="L3" s="808"/>
    </row>
    <row r="4" spans="1:12" ht="15.75" customHeight="1">
      <c r="A4" s="266"/>
      <c r="B4" s="266"/>
      <c r="C4" s="267"/>
      <c r="D4" s="267"/>
      <c r="E4" s="170"/>
      <c r="F4" s="170"/>
      <c r="G4" s="170"/>
      <c r="H4" s="268"/>
      <c r="I4" s="268"/>
      <c r="J4" s="816" t="s">
        <v>188</v>
      </c>
      <c r="K4" s="816"/>
      <c r="L4" s="816"/>
    </row>
    <row r="5" spans="1:12" s="269" customFormat="1" ht="28.5" customHeight="1">
      <c r="A5" s="801" t="s">
        <v>57</v>
      </c>
      <c r="B5" s="801"/>
      <c r="C5" s="716" t="s">
        <v>31</v>
      </c>
      <c r="D5" s="716" t="s">
        <v>189</v>
      </c>
      <c r="E5" s="716"/>
      <c r="F5" s="716"/>
      <c r="G5" s="716"/>
      <c r="H5" s="716" t="s">
        <v>190</v>
      </c>
      <c r="I5" s="716"/>
      <c r="J5" s="716" t="s">
        <v>191</v>
      </c>
      <c r="K5" s="716"/>
      <c r="L5" s="716"/>
    </row>
    <row r="6" spans="1:13" s="269" customFormat="1" ht="80.25" customHeight="1">
      <c r="A6" s="801"/>
      <c r="B6" s="801"/>
      <c r="C6" s="716"/>
      <c r="D6" s="215" t="s">
        <v>192</v>
      </c>
      <c r="E6" s="215" t="s">
        <v>193</v>
      </c>
      <c r="F6" s="215" t="s">
        <v>331</v>
      </c>
      <c r="G6" s="215" t="s">
        <v>194</v>
      </c>
      <c r="H6" s="215" t="s">
        <v>195</v>
      </c>
      <c r="I6" s="215" t="s">
        <v>196</v>
      </c>
      <c r="J6" s="215" t="s">
        <v>197</v>
      </c>
      <c r="K6" s="215" t="s">
        <v>198</v>
      </c>
      <c r="L6" s="215" t="s">
        <v>199</v>
      </c>
      <c r="M6" s="270"/>
    </row>
    <row r="7" spans="1:12" s="271" customFormat="1" ht="16.5" customHeight="1">
      <c r="A7" s="817" t="s">
        <v>6</v>
      </c>
      <c r="B7" s="817"/>
      <c r="C7" s="221">
        <v>1</v>
      </c>
      <c r="D7" s="221">
        <v>2</v>
      </c>
      <c r="E7" s="221">
        <v>3</v>
      </c>
      <c r="F7" s="221">
        <v>4</v>
      </c>
      <c r="G7" s="221">
        <v>5</v>
      </c>
      <c r="H7" s="221">
        <v>6</v>
      </c>
      <c r="I7" s="221">
        <v>7</v>
      </c>
      <c r="J7" s="221">
        <v>8</v>
      </c>
      <c r="K7" s="221">
        <v>9</v>
      </c>
      <c r="L7" s="221">
        <v>10</v>
      </c>
    </row>
    <row r="8" spans="1:12" s="271" customFormat="1" ht="16.5" customHeight="1">
      <c r="A8" s="804" t="s">
        <v>328</v>
      </c>
      <c r="B8" s="80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2" t="s">
        <v>304</v>
      </c>
      <c r="B9" s="803"/>
      <c r="C9" s="224">
        <v>9</v>
      </c>
      <c r="D9" s="224">
        <v>2</v>
      </c>
      <c r="E9" s="224">
        <v>2</v>
      </c>
      <c r="F9" s="224">
        <v>0</v>
      </c>
      <c r="G9" s="224">
        <v>5</v>
      </c>
      <c r="H9" s="224">
        <v>8</v>
      </c>
      <c r="I9" s="224">
        <v>0</v>
      </c>
      <c r="J9" s="224">
        <v>8</v>
      </c>
      <c r="K9" s="224">
        <v>1</v>
      </c>
      <c r="L9" s="224">
        <v>0</v>
      </c>
    </row>
    <row r="10" spans="1:12" s="271" customFormat="1" ht="16.5" customHeight="1">
      <c r="A10" s="818" t="s">
        <v>184</v>
      </c>
      <c r="B10" s="81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51" t="s">
        <v>333</v>
      </c>
      <c r="B25" s="751"/>
      <c r="C25" s="751"/>
      <c r="D25" s="751"/>
      <c r="E25" s="182"/>
      <c r="F25" s="756" t="s">
        <v>291</v>
      </c>
      <c r="G25" s="756"/>
      <c r="H25" s="756"/>
      <c r="I25" s="756"/>
      <c r="J25" s="756"/>
      <c r="K25" s="756"/>
      <c r="L25" s="756"/>
      <c r="AJ25" s="190" t="s">
        <v>289</v>
      </c>
    </row>
    <row r="26" spans="1:44" ht="15" customHeight="1">
      <c r="A26" s="741" t="s">
        <v>157</v>
      </c>
      <c r="B26" s="741"/>
      <c r="C26" s="741"/>
      <c r="D26" s="741"/>
      <c r="E26" s="183"/>
      <c r="F26" s="744" t="s">
        <v>158</v>
      </c>
      <c r="G26" s="744"/>
      <c r="H26" s="744"/>
      <c r="I26" s="744"/>
      <c r="J26" s="744"/>
      <c r="K26" s="744"/>
      <c r="L26" s="744"/>
      <c r="AR26" s="190"/>
    </row>
    <row r="27" spans="1:12" s="170" customFormat="1" ht="18.75">
      <c r="A27" s="738"/>
      <c r="B27" s="738"/>
      <c r="C27" s="738"/>
      <c r="D27" s="738"/>
      <c r="E27" s="182"/>
      <c r="F27" s="739"/>
      <c r="G27" s="739"/>
      <c r="H27" s="739"/>
      <c r="I27" s="739"/>
      <c r="J27" s="739"/>
      <c r="K27" s="739"/>
      <c r="L27" s="739"/>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800" t="s">
        <v>295</v>
      </c>
      <c r="C29" s="800"/>
      <c r="D29" s="182"/>
      <c r="E29" s="182"/>
      <c r="F29" s="182"/>
      <c r="G29" s="182"/>
      <c r="H29" s="800" t="s">
        <v>295</v>
      </c>
      <c r="I29" s="800"/>
      <c r="J29" s="80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36" t="s">
        <v>248</v>
      </c>
      <c r="B37" s="636"/>
      <c r="C37" s="636"/>
      <c r="D37" s="636"/>
      <c r="E37" s="210"/>
      <c r="F37" s="637" t="s">
        <v>249</v>
      </c>
      <c r="G37" s="637"/>
      <c r="H37" s="637"/>
      <c r="I37" s="637"/>
      <c r="J37" s="637"/>
      <c r="K37" s="637"/>
      <c r="L37" s="637"/>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9" t="s">
        <v>205</v>
      </c>
      <c r="B1" s="819"/>
      <c r="C1" s="819"/>
      <c r="D1" s="809" t="s">
        <v>371</v>
      </c>
      <c r="E1" s="809"/>
      <c r="F1" s="809"/>
      <c r="G1" s="809"/>
      <c r="H1" s="809"/>
      <c r="I1" s="170"/>
      <c r="J1" s="171" t="s">
        <v>365</v>
      </c>
      <c r="K1" s="280"/>
      <c r="L1" s="280"/>
    </row>
    <row r="2" spans="1:12" ht="15.75" customHeight="1">
      <c r="A2" s="823" t="s">
        <v>306</v>
      </c>
      <c r="B2" s="823"/>
      <c r="C2" s="823"/>
      <c r="D2" s="809"/>
      <c r="E2" s="809"/>
      <c r="F2" s="809"/>
      <c r="G2" s="809"/>
      <c r="H2" s="809"/>
      <c r="I2" s="170"/>
      <c r="J2" s="281" t="s">
        <v>307</v>
      </c>
      <c r="K2" s="281"/>
      <c r="L2" s="281"/>
    </row>
    <row r="3" spans="1:12" ht="18.75" customHeight="1">
      <c r="A3" s="729" t="s">
        <v>258</v>
      </c>
      <c r="B3" s="729"/>
      <c r="C3" s="729"/>
      <c r="D3" s="167"/>
      <c r="E3" s="167"/>
      <c r="F3" s="167"/>
      <c r="G3" s="167"/>
      <c r="H3" s="167"/>
      <c r="I3" s="170"/>
      <c r="J3" s="174" t="s">
        <v>364</v>
      </c>
      <c r="K3" s="174"/>
      <c r="L3" s="174"/>
    </row>
    <row r="4" spans="1:12" ht="15.75" customHeight="1">
      <c r="A4" s="820" t="s">
        <v>334</v>
      </c>
      <c r="B4" s="820"/>
      <c r="C4" s="820"/>
      <c r="D4" s="835"/>
      <c r="E4" s="835"/>
      <c r="F4" s="835"/>
      <c r="G4" s="835"/>
      <c r="H4" s="835"/>
      <c r="I4" s="170"/>
      <c r="J4" s="282" t="s">
        <v>299</v>
      </c>
      <c r="K4" s="282"/>
      <c r="L4" s="282"/>
    </row>
    <row r="5" spans="1:12" ht="15.75">
      <c r="A5" s="824"/>
      <c r="B5" s="824"/>
      <c r="C5" s="166"/>
      <c r="D5" s="170"/>
      <c r="E5" s="170"/>
      <c r="F5" s="170"/>
      <c r="G5" s="170"/>
      <c r="H5" s="283"/>
      <c r="I5" s="836" t="s">
        <v>335</v>
      </c>
      <c r="J5" s="836"/>
      <c r="K5" s="836"/>
      <c r="L5" s="836"/>
    </row>
    <row r="6" spans="1:12" ht="18.75" customHeight="1">
      <c r="A6" s="721" t="s">
        <v>57</v>
      </c>
      <c r="B6" s="722"/>
      <c r="C6" s="831" t="s">
        <v>206</v>
      </c>
      <c r="D6" s="742" t="s">
        <v>207</v>
      </c>
      <c r="E6" s="834"/>
      <c r="F6" s="743"/>
      <c r="G6" s="742" t="s">
        <v>208</v>
      </c>
      <c r="H6" s="834"/>
      <c r="I6" s="834"/>
      <c r="J6" s="834"/>
      <c r="K6" s="834"/>
      <c r="L6" s="743"/>
    </row>
    <row r="7" spans="1:12" ht="15.75" customHeight="1">
      <c r="A7" s="723"/>
      <c r="B7" s="724"/>
      <c r="C7" s="833"/>
      <c r="D7" s="742" t="s">
        <v>7</v>
      </c>
      <c r="E7" s="834"/>
      <c r="F7" s="743"/>
      <c r="G7" s="831" t="s">
        <v>30</v>
      </c>
      <c r="H7" s="742" t="s">
        <v>7</v>
      </c>
      <c r="I7" s="834"/>
      <c r="J7" s="834"/>
      <c r="K7" s="834"/>
      <c r="L7" s="743"/>
    </row>
    <row r="8" spans="1:12" ht="14.25" customHeight="1">
      <c r="A8" s="723"/>
      <c r="B8" s="724"/>
      <c r="C8" s="833"/>
      <c r="D8" s="831" t="s">
        <v>209</v>
      </c>
      <c r="E8" s="831" t="s">
        <v>210</v>
      </c>
      <c r="F8" s="831" t="s">
        <v>211</v>
      </c>
      <c r="G8" s="833"/>
      <c r="H8" s="831" t="s">
        <v>212</v>
      </c>
      <c r="I8" s="831" t="s">
        <v>213</v>
      </c>
      <c r="J8" s="831" t="s">
        <v>214</v>
      </c>
      <c r="K8" s="831" t="s">
        <v>215</v>
      </c>
      <c r="L8" s="831" t="s">
        <v>216</v>
      </c>
    </row>
    <row r="9" spans="1:12" ht="77.25" customHeight="1">
      <c r="A9" s="725"/>
      <c r="B9" s="726"/>
      <c r="C9" s="832"/>
      <c r="D9" s="832"/>
      <c r="E9" s="832"/>
      <c r="F9" s="832"/>
      <c r="G9" s="832"/>
      <c r="H9" s="832"/>
      <c r="I9" s="832"/>
      <c r="J9" s="832"/>
      <c r="K9" s="832"/>
      <c r="L9" s="832"/>
    </row>
    <row r="10" spans="1:12" s="271" customFormat="1" ht="16.5" customHeight="1">
      <c r="A10" s="825" t="s">
        <v>6</v>
      </c>
      <c r="B10" s="826"/>
      <c r="C10" s="220">
        <v>1</v>
      </c>
      <c r="D10" s="220">
        <v>2</v>
      </c>
      <c r="E10" s="220">
        <v>3</v>
      </c>
      <c r="F10" s="220">
        <v>4</v>
      </c>
      <c r="G10" s="220">
        <v>5</v>
      </c>
      <c r="H10" s="220">
        <v>6</v>
      </c>
      <c r="I10" s="220">
        <v>7</v>
      </c>
      <c r="J10" s="220">
        <v>8</v>
      </c>
      <c r="K10" s="221" t="s">
        <v>63</v>
      </c>
      <c r="L10" s="221" t="s">
        <v>83</v>
      </c>
    </row>
    <row r="11" spans="1:12" s="271" customFormat="1" ht="16.5" customHeight="1">
      <c r="A11" s="829" t="s">
        <v>303</v>
      </c>
      <c r="B11" s="83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7" t="s">
        <v>304</v>
      </c>
      <c r="B12" s="828"/>
      <c r="C12" s="224">
        <v>12</v>
      </c>
      <c r="D12" s="224">
        <v>0</v>
      </c>
      <c r="E12" s="224">
        <v>1</v>
      </c>
      <c r="F12" s="224">
        <v>11</v>
      </c>
      <c r="G12" s="224">
        <v>10</v>
      </c>
      <c r="H12" s="224">
        <v>0</v>
      </c>
      <c r="I12" s="224">
        <v>0</v>
      </c>
      <c r="J12" s="224">
        <v>0</v>
      </c>
      <c r="K12" s="224">
        <v>6</v>
      </c>
      <c r="L12" s="224">
        <v>4</v>
      </c>
    </row>
    <row r="13" spans="1:32" s="271" customFormat="1" ht="16.5" customHeight="1">
      <c r="A13" s="821" t="s">
        <v>30</v>
      </c>
      <c r="B13" s="82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1" t="s">
        <v>291</v>
      </c>
      <c r="B28" s="751"/>
      <c r="C28" s="751"/>
      <c r="D28" s="751"/>
      <c r="E28" s="751"/>
      <c r="F28" s="182"/>
      <c r="G28" s="181"/>
      <c r="H28" s="294" t="s">
        <v>336</v>
      </c>
      <c r="I28" s="295"/>
      <c r="J28" s="295"/>
      <c r="K28" s="295"/>
      <c r="L28" s="295"/>
      <c r="AG28" s="233" t="s">
        <v>292</v>
      </c>
      <c r="AI28" s="190">
        <f>82/88</f>
        <v>0.9318181818181818</v>
      </c>
    </row>
    <row r="29" spans="1:12" ht="15" customHeight="1">
      <c r="A29" s="741" t="s">
        <v>4</v>
      </c>
      <c r="B29" s="741"/>
      <c r="C29" s="741"/>
      <c r="D29" s="741"/>
      <c r="E29" s="741"/>
      <c r="F29" s="182"/>
      <c r="G29" s="183"/>
      <c r="H29" s="744" t="s">
        <v>158</v>
      </c>
      <c r="I29" s="744"/>
      <c r="J29" s="744"/>
      <c r="K29" s="744"/>
      <c r="L29" s="744"/>
    </row>
    <row r="30" spans="1:14" s="170" customFormat="1" ht="18.75">
      <c r="A30" s="738"/>
      <c r="B30" s="738"/>
      <c r="C30" s="738"/>
      <c r="D30" s="738"/>
      <c r="E30" s="738"/>
      <c r="F30" s="296"/>
      <c r="G30" s="182"/>
      <c r="H30" s="739"/>
      <c r="I30" s="739"/>
      <c r="J30" s="739"/>
      <c r="K30" s="739"/>
      <c r="L30" s="739"/>
      <c r="M30" s="297"/>
      <c r="N30" s="297"/>
    </row>
    <row r="31" spans="1:12" ht="18">
      <c r="A31" s="182"/>
      <c r="B31" s="182"/>
      <c r="C31" s="182"/>
      <c r="D31" s="182"/>
      <c r="E31" s="182"/>
      <c r="F31" s="182"/>
      <c r="G31" s="182"/>
      <c r="H31" s="182"/>
      <c r="I31" s="182"/>
      <c r="J31" s="182"/>
      <c r="K31" s="182"/>
      <c r="L31" s="298"/>
    </row>
    <row r="32" spans="1:12" ht="18">
      <c r="A32" s="182"/>
      <c r="B32" s="800" t="s">
        <v>295</v>
      </c>
      <c r="C32" s="800"/>
      <c r="D32" s="800"/>
      <c r="E32" s="800"/>
      <c r="F32" s="182"/>
      <c r="G32" s="182"/>
      <c r="H32" s="182"/>
      <c r="I32" s="800" t="s">
        <v>295</v>
      </c>
      <c r="J32" s="800"/>
      <c r="K32" s="800"/>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7" t="s">
        <v>217</v>
      </c>
      <c r="C40" s="837"/>
      <c r="D40" s="837"/>
      <c r="E40" s="837"/>
      <c r="F40" s="837"/>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36" t="s">
        <v>337</v>
      </c>
      <c r="B43" s="636"/>
      <c r="C43" s="636"/>
      <c r="D43" s="636"/>
      <c r="E43" s="636"/>
      <c r="F43" s="182"/>
      <c r="G43" s="301"/>
      <c r="H43" s="637" t="s">
        <v>249</v>
      </c>
      <c r="I43" s="637"/>
      <c r="J43" s="637"/>
      <c r="K43" s="637"/>
      <c r="L43" s="637"/>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2" t="s">
        <v>220</v>
      </c>
      <c r="B1" s="732"/>
      <c r="C1" s="732"/>
      <c r="D1" s="732"/>
      <c r="E1" s="306"/>
      <c r="F1" s="727" t="s">
        <v>372</v>
      </c>
      <c r="G1" s="727"/>
      <c r="H1" s="727"/>
      <c r="I1" s="727"/>
      <c r="J1" s="727"/>
      <c r="K1" s="727"/>
      <c r="L1" s="727"/>
      <c r="M1" s="727"/>
      <c r="N1" s="727"/>
      <c r="O1" s="727"/>
      <c r="P1" s="307" t="s">
        <v>296</v>
      </c>
      <c r="Q1" s="308"/>
      <c r="R1" s="308"/>
      <c r="S1" s="308"/>
      <c r="T1" s="308"/>
    </row>
    <row r="2" spans="1:20" s="177" customFormat="1" ht="20.25" customHeight="1">
      <c r="A2" s="842" t="s">
        <v>306</v>
      </c>
      <c r="B2" s="842"/>
      <c r="C2" s="842"/>
      <c r="D2" s="842"/>
      <c r="E2" s="306"/>
      <c r="F2" s="727"/>
      <c r="G2" s="727"/>
      <c r="H2" s="727"/>
      <c r="I2" s="727"/>
      <c r="J2" s="727"/>
      <c r="K2" s="727"/>
      <c r="L2" s="727"/>
      <c r="M2" s="727"/>
      <c r="N2" s="727"/>
      <c r="O2" s="727"/>
      <c r="P2" s="308" t="s">
        <v>338</v>
      </c>
      <c r="Q2" s="308"/>
      <c r="R2" s="308"/>
      <c r="S2" s="308"/>
      <c r="T2" s="308"/>
    </row>
    <row r="3" spans="1:20" s="177" customFormat="1" ht="15" customHeight="1">
      <c r="A3" s="842" t="s">
        <v>258</v>
      </c>
      <c r="B3" s="842"/>
      <c r="C3" s="842"/>
      <c r="D3" s="842"/>
      <c r="E3" s="306"/>
      <c r="F3" s="727"/>
      <c r="G3" s="727"/>
      <c r="H3" s="727"/>
      <c r="I3" s="727"/>
      <c r="J3" s="727"/>
      <c r="K3" s="727"/>
      <c r="L3" s="727"/>
      <c r="M3" s="727"/>
      <c r="N3" s="727"/>
      <c r="O3" s="727"/>
      <c r="P3" s="307" t="s">
        <v>364</v>
      </c>
      <c r="Q3" s="307"/>
      <c r="R3" s="307"/>
      <c r="S3" s="309"/>
      <c r="T3" s="309"/>
    </row>
    <row r="4" spans="1:20" s="177" customFormat="1" ht="15.75" customHeight="1">
      <c r="A4" s="858" t="s">
        <v>339</v>
      </c>
      <c r="B4" s="858"/>
      <c r="C4" s="858"/>
      <c r="D4" s="858"/>
      <c r="E4" s="307"/>
      <c r="F4" s="727"/>
      <c r="G4" s="727"/>
      <c r="H4" s="727"/>
      <c r="I4" s="727"/>
      <c r="J4" s="727"/>
      <c r="K4" s="727"/>
      <c r="L4" s="727"/>
      <c r="M4" s="727"/>
      <c r="N4" s="727"/>
      <c r="O4" s="727"/>
      <c r="P4" s="308" t="s">
        <v>308</v>
      </c>
      <c r="Q4" s="307"/>
      <c r="R4" s="307"/>
      <c r="S4" s="309"/>
      <c r="T4" s="309"/>
    </row>
    <row r="5" spans="1:18" s="177" customFormat="1" ht="24" customHeight="1">
      <c r="A5" s="310"/>
      <c r="B5" s="310"/>
      <c r="C5" s="310"/>
      <c r="F5" s="843"/>
      <c r="G5" s="843"/>
      <c r="H5" s="843"/>
      <c r="I5" s="843"/>
      <c r="J5" s="843"/>
      <c r="K5" s="843"/>
      <c r="L5" s="843"/>
      <c r="M5" s="843"/>
      <c r="N5" s="843"/>
      <c r="O5" s="843"/>
      <c r="P5" s="311" t="s">
        <v>340</v>
      </c>
      <c r="Q5" s="312"/>
      <c r="R5" s="312"/>
    </row>
    <row r="6" spans="1:20" s="313" customFormat="1" ht="21.75" customHeight="1">
      <c r="A6" s="846" t="s">
        <v>57</v>
      </c>
      <c r="B6" s="847"/>
      <c r="C6" s="735" t="s">
        <v>31</v>
      </c>
      <c r="D6" s="719"/>
      <c r="E6" s="735" t="s">
        <v>7</v>
      </c>
      <c r="F6" s="838"/>
      <c r="G6" s="838"/>
      <c r="H6" s="838"/>
      <c r="I6" s="838"/>
      <c r="J6" s="838"/>
      <c r="K6" s="838"/>
      <c r="L6" s="838"/>
      <c r="M6" s="838"/>
      <c r="N6" s="838"/>
      <c r="O6" s="838"/>
      <c r="P6" s="838"/>
      <c r="Q6" s="838"/>
      <c r="R6" s="838"/>
      <c r="S6" s="838"/>
      <c r="T6" s="719"/>
    </row>
    <row r="7" spans="1:21" s="313" customFormat="1" ht="22.5" customHeight="1">
      <c r="A7" s="848"/>
      <c r="B7" s="849"/>
      <c r="C7" s="752" t="s">
        <v>341</v>
      </c>
      <c r="D7" s="752" t="s">
        <v>342</v>
      </c>
      <c r="E7" s="735" t="s">
        <v>221</v>
      </c>
      <c r="F7" s="850"/>
      <c r="G7" s="850"/>
      <c r="H7" s="850"/>
      <c r="I7" s="850"/>
      <c r="J7" s="850"/>
      <c r="K7" s="850"/>
      <c r="L7" s="851"/>
      <c r="M7" s="735" t="s">
        <v>343</v>
      </c>
      <c r="N7" s="838"/>
      <c r="O7" s="838"/>
      <c r="P7" s="838"/>
      <c r="Q7" s="838"/>
      <c r="R7" s="838"/>
      <c r="S7" s="838"/>
      <c r="T7" s="719"/>
      <c r="U7" s="314"/>
    </row>
    <row r="8" spans="1:20" s="313" customFormat="1" ht="42.75" customHeight="1">
      <c r="A8" s="848"/>
      <c r="B8" s="849"/>
      <c r="C8" s="753"/>
      <c r="D8" s="753"/>
      <c r="E8" s="716" t="s">
        <v>344</v>
      </c>
      <c r="F8" s="716"/>
      <c r="G8" s="735" t="s">
        <v>345</v>
      </c>
      <c r="H8" s="838"/>
      <c r="I8" s="838"/>
      <c r="J8" s="838"/>
      <c r="K8" s="838"/>
      <c r="L8" s="719"/>
      <c r="M8" s="716" t="s">
        <v>346</v>
      </c>
      <c r="N8" s="716"/>
      <c r="O8" s="735" t="s">
        <v>345</v>
      </c>
      <c r="P8" s="838"/>
      <c r="Q8" s="838"/>
      <c r="R8" s="838"/>
      <c r="S8" s="838"/>
      <c r="T8" s="719"/>
    </row>
    <row r="9" spans="1:20" s="313" customFormat="1" ht="35.25" customHeight="1">
      <c r="A9" s="848"/>
      <c r="B9" s="849"/>
      <c r="C9" s="753"/>
      <c r="D9" s="753"/>
      <c r="E9" s="752" t="s">
        <v>222</v>
      </c>
      <c r="F9" s="752" t="s">
        <v>223</v>
      </c>
      <c r="G9" s="844" t="s">
        <v>224</v>
      </c>
      <c r="H9" s="845"/>
      <c r="I9" s="844" t="s">
        <v>225</v>
      </c>
      <c r="J9" s="845"/>
      <c r="K9" s="844" t="s">
        <v>226</v>
      </c>
      <c r="L9" s="845"/>
      <c r="M9" s="752" t="s">
        <v>227</v>
      </c>
      <c r="N9" s="752" t="s">
        <v>223</v>
      </c>
      <c r="O9" s="844" t="s">
        <v>224</v>
      </c>
      <c r="P9" s="845"/>
      <c r="Q9" s="844" t="s">
        <v>228</v>
      </c>
      <c r="R9" s="845"/>
      <c r="S9" s="844" t="s">
        <v>229</v>
      </c>
      <c r="T9" s="845"/>
    </row>
    <row r="10" spans="1:20" s="313" customFormat="1" ht="25.5" customHeight="1">
      <c r="A10" s="844"/>
      <c r="B10" s="845"/>
      <c r="C10" s="754"/>
      <c r="D10" s="754"/>
      <c r="E10" s="754"/>
      <c r="F10" s="754"/>
      <c r="G10" s="215" t="s">
        <v>227</v>
      </c>
      <c r="H10" s="215" t="s">
        <v>223</v>
      </c>
      <c r="I10" s="219" t="s">
        <v>227</v>
      </c>
      <c r="J10" s="215" t="s">
        <v>223</v>
      </c>
      <c r="K10" s="219" t="s">
        <v>227</v>
      </c>
      <c r="L10" s="215" t="s">
        <v>223</v>
      </c>
      <c r="M10" s="754"/>
      <c r="N10" s="754"/>
      <c r="O10" s="215" t="s">
        <v>227</v>
      </c>
      <c r="P10" s="215" t="s">
        <v>223</v>
      </c>
      <c r="Q10" s="219" t="s">
        <v>227</v>
      </c>
      <c r="R10" s="215" t="s">
        <v>223</v>
      </c>
      <c r="S10" s="219" t="s">
        <v>227</v>
      </c>
      <c r="T10" s="215" t="s">
        <v>223</v>
      </c>
    </row>
    <row r="11" spans="1:32" s="222" customFormat="1" ht="12.75">
      <c r="A11" s="854" t="s">
        <v>6</v>
      </c>
      <c r="B11" s="855"/>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39" t="s">
        <v>328</v>
      </c>
      <c r="B12" s="84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52" t="s">
        <v>304</v>
      </c>
      <c r="B13" s="853"/>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6" t="s">
        <v>30</v>
      </c>
      <c r="B14" s="85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51" t="s">
        <v>291</v>
      </c>
      <c r="C29" s="751"/>
      <c r="D29" s="751"/>
      <c r="E29" s="751"/>
      <c r="F29" s="751"/>
      <c r="G29" s="751"/>
      <c r="H29" s="181"/>
      <c r="I29" s="181"/>
      <c r="J29" s="182"/>
      <c r="K29" s="181"/>
      <c r="L29" s="756" t="s">
        <v>291</v>
      </c>
      <c r="M29" s="756"/>
      <c r="N29" s="756"/>
      <c r="O29" s="756"/>
      <c r="P29" s="756"/>
      <c r="Q29" s="756"/>
      <c r="R29" s="756"/>
      <c r="S29" s="756"/>
      <c r="T29" s="756"/>
    </row>
    <row r="30" spans="1:20" ht="15" customHeight="1">
      <c r="A30" s="180"/>
      <c r="B30" s="741" t="s">
        <v>35</v>
      </c>
      <c r="C30" s="741"/>
      <c r="D30" s="741"/>
      <c r="E30" s="741"/>
      <c r="F30" s="741"/>
      <c r="G30" s="741"/>
      <c r="H30" s="183"/>
      <c r="I30" s="183"/>
      <c r="J30" s="183"/>
      <c r="K30" s="183"/>
      <c r="L30" s="744" t="s">
        <v>247</v>
      </c>
      <c r="M30" s="744"/>
      <c r="N30" s="744"/>
      <c r="O30" s="744"/>
      <c r="P30" s="744"/>
      <c r="Q30" s="744"/>
      <c r="R30" s="744"/>
      <c r="S30" s="744"/>
      <c r="T30" s="744"/>
    </row>
    <row r="31" spans="1:20" s="320" customFormat="1" ht="18.75">
      <c r="A31" s="318"/>
      <c r="B31" s="738"/>
      <c r="C31" s="738"/>
      <c r="D31" s="738"/>
      <c r="E31" s="738"/>
      <c r="F31" s="738"/>
      <c r="G31" s="319"/>
      <c r="H31" s="319"/>
      <c r="I31" s="319"/>
      <c r="J31" s="319"/>
      <c r="K31" s="319"/>
      <c r="L31" s="739"/>
      <c r="M31" s="739"/>
      <c r="N31" s="739"/>
      <c r="O31" s="739"/>
      <c r="P31" s="739"/>
      <c r="Q31" s="739"/>
      <c r="R31" s="739"/>
      <c r="S31" s="739"/>
      <c r="T31" s="73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1" t="s">
        <v>295</v>
      </c>
      <c r="C33" s="841"/>
      <c r="D33" s="841"/>
      <c r="E33" s="841"/>
      <c r="F33" s="841"/>
      <c r="G33" s="321"/>
      <c r="H33" s="321"/>
      <c r="I33" s="321"/>
      <c r="J33" s="321"/>
      <c r="K33" s="321"/>
      <c r="L33" s="321"/>
      <c r="M33" s="321"/>
      <c r="N33" s="321"/>
      <c r="O33" s="841" t="s">
        <v>295</v>
      </c>
      <c r="P33" s="841"/>
      <c r="Q33" s="84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36" t="s">
        <v>248</v>
      </c>
      <c r="C39" s="636"/>
      <c r="D39" s="636"/>
      <c r="E39" s="636"/>
      <c r="F39" s="636"/>
      <c r="G39" s="636"/>
      <c r="H39" s="182"/>
      <c r="I39" s="182"/>
      <c r="J39" s="182"/>
      <c r="K39" s="182"/>
      <c r="L39" s="637" t="s">
        <v>249</v>
      </c>
      <c r="M39" s="637"/>
      <c r="N39" s="637"/>
      <c r="O39" s="637"/>
      <c r="P39" s="637"/>
      <c r="Q39" s="637"/>
      <c r="R39" s="637"/>
      <c r="S39" s="637"/>
      <c r="T39" s="63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S9:T9"/>
    <mergeCell ref="Q9:R9"/>
    <mergeCell ref="E6:T6"/>
    <mergeCell ref="G8:L8"/>
    <mergeCell ref="A4:D4"/>
    <mergeCell ref="N9:N10"/>
    <mergeCell ref="A2:D2"/>
    <mergeCell ref="A14:B14"/>
    <mergeCell ref="G9:H9"/>
    <mergeCell ref="I9:J9"/>
    <mergeCell ref="C7:C10"/>
    <mergeCell ref="C6:D6"/>
    <mergeCell ref="M8:N8"/>
    <mergeCell ref="B29:G29"/>
    <mergeCell ref="A13:B13"/>
    <mergeCell ref="A11:B11"/>
    <mergeCell ref="L31:T31"/>
    <mergeCell ref="O9:P9"/>
    <mergeCell ref="F9:F10"/>
    <mergeCell ref="E9:E10"/>
    <mergeCell ref="M9:M10"/>
    <mergeCell ref="O8:T8"/>
    <mergeCell ref="D7:D10"/>
    <mergeCell ref="K9:L9"/>
    <mergeCell ref="B39:G39"/>
    <mergeCell ref="L29:T29"/>
    <mergeCell ref="L30:T30"/>
    <mergeCell ref="L39:T39"/>
    <mergeCell ref="B30:G30"/>
    <mergeCell ref="A6:B10"/>
    <mergeCell ref="E7:L7"/>
    <mergeCell ref="F1:O4"/>
    <mergeCell ref="M7:T7"/>
    <mergeCell ref="E8:F8"/>
    <mergeCell ref="A12:B12"/>
    <mergeCell ref="B31:F31"/>
    <mergeCell ref="O33:Q33"/>
    <mergeCell ref="B33:F33"/>
    <mergeCell ref="A1:D1"/>
    <mergeCell ref="A3:D3"/>
    <mergeCell ref="F5:O5"/>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2017-02-07T07:00:26Z</cp:lastPrinted>
  <dcterms:created xsi:type="dcterms:W3CDTF">2004-03-07T02:36:29Z</dcterms:created>
  <dcterms:modified xsi:type="dcterms:W3CDTF">2017-03-07T03:15:10Z</dcterms:modified>
  <cp:category/>
  <cp:version/>
  <cp:contentType/>
  <cp:contentStatus/>
</cp:coreProperties>
</file>